
<file path=[Content_Types].xml><?xml version="1.0" encoding="utf-8"?>
<Types xmlns="http://schemas.openxmlformats.org/package/2006/content-types">
  <Default Extension="wmf" ContentType="image/x-wmf"/>
  <Default Extension="vml" ContentType="application/vnd.openxmlformats-officedocument.vmlDrawing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Microsoft_Visio_2003-2010___1.vsd" ContentType="application/vnd.visio"/>
  <Override PartName="/xl/embeddings/Microsoft_Visio_2003-2010___2.vsd" ContentType="application/vnd.visio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744" activeTab="1"/>
  </bookViews>
  <sheets>
    <sheet name="ИД" sheetId="1" r:id="rId1"/>
    <sheet name="ССРтек" sheetId="2" r:id="rId2"/>
    <sheet name="ОС-01-01тек" sheetId="19" r:id="rId3"/>
    <sheet name="ОС-06-01тек" sheetId="21" state="hidden" r:id="rId4"/>
    <sheet name="ССРбаз" sheetId="7" r:id="rId5"/>
    <sheet name="ОС-01-01" sheetId="6" r:id="rId6"/>
    <sheet name="ОС-06-01" sheetId="17" state="hidden" r:id="rId7"/>
    <sheet name="в ПЗ" sheetId="8" r:id="rId8"/>
  </sheets>
  <definedNames>
    <definedName name="_xlnm.Print_Area" localSheetId="7">'в ПЗ'!$A$1:$C$13</definedName>
    <definedName name="_xlnm.Print_Area" localSheetId="0">ИД!$A$1:$E$37</definedName>
    <definedName name="_xlnm.Print_Area" localSheetId="5">'ОС-01-01'!$B$1:$I$34</definedName>
    <definedName name="_xlnm.Print_Area" localSheetId="2">'ОС-01-01тек'!$B$1:$I$35</definedName>
    <definedName name="_xlnm.Print_Area" localSheetId="6">'ОС-06-01'!$B$1:$I$38</definedName>
    <definedName name="_xlnm.Print_Area" localSheetId="3">'ОС-06-01тек'!$B$1:$I$38</definedName>
    <definedName name="_xlnm.Print_Area" localSheetId="4">ССРбаз!$B$1:$I$67</definedName>
    <definedName name="_xlnm.Print_Area" localSheetId="1">ССРтек!$B$1:$I$68</definedName>
    <definedName name="_xlnm.Print_Titles" localSheetId="5">'ОС-01-01'!$17:$17</definedName>
    <definedName name="_xlnm.Print_Titles" localSheetId="2">'ОС-01-01тек'!$17:$17</definedName>
    <definedName name="_xlnm.Print_Titles" localSheetId="6">'ОС-06-01'!#REF!</definedName>
    <definedName name="_xlnm.Print_Titles" localSheetId="3">'ОС-06-01тек'!#REF!</definedName>
    <definedName name="_xlnm.Print_Titles" localSheetId="4">ССРбаз!$17:$17</definedName>
    <definedName name="_xlnm.Print_Titles" localSheetId="1">ССРтек!$17:$17</definedName>
  </definedNames>
  <calcPr calcId="144525" fullPrecision="0"/>
</workbook>
</file>

<file path=xl/comments1.xml><?xml version="1.0" encoding="utf-8"?>
<comments xmlns="http://schemas.openxmlformats.org/spreadsheetml/2006/main">
  <authors>
    <author>Автор</author>
  </authors>
  <commentList>
    <comment ref="E17" authorId="0">
      <text>
        <r>
          <rPr>
            <b/>
            <sz val="8"/>
            <rFont val="Times New Roman"/>
            <charset val="204"/>
          </rPr>
          <t>Письмо Госстроя России от 04.01.2001  № 3412/10</t>
        </r>
        <r>
          <rPr>
            <sz val="9"/>
            <rFont val="Tahoma"/>
            <charset val="204"/>
          </rPr>
          <t xml:space="preserve">
</t>
        </r>
      </text>
    </comment>
    <comment ref="E18" authorId="0">
      <text>
        <r>
          <rPr>
            <b/>
            <sz val="8"/>
            <rFont val="Times New Roman"/>
            <charset val="204"/>
          </rPr>
          <t>Письмо Госстроя России от 07.10.1999 № АШ-9/10</t>
        </r>
      </text>
    </comment>
  </commentList>
</comments>
</file>

<file path=xl/sharedStrings.xml><?xml version="1.0" encoding="utf-8"?>
<sst xmlns="http://schemas.openxmlformats.org/spreadsheetml/2006/main" count="327" uniqueCount="174">
  <si>
    <t>Договор субподряда</t>
  </si>
  <si>
    <t>№01/Пд/09-01-23-1</t>
  </si>
  <si>
    <t>Заказчик(Подрядчик):</t>
  </si>
  <si>
    <t>ООО "Север"</t>
  </si>
  <si>
    <t>Директор</t>
  </si>
  <si>
    <t>А.Ю.Харченко</t>
  </si>
  <si>
    <t>Исполнитель (Субподрядчик)</t>
  </si>
  <si>
    <t xml:space="preserve"> ООО "ИВЦ "Энергоактив""</t>
  </si>
  <si>
    <t xml:space="preserve">Генеральный директор </t>
  </si>
  <si>
    <t>С.В. Лопашук</t>
  </si>
  <si>
    <t>Главный инженер проекта</t>
  </si>
  <si>
    <t>Н.В.Петров</t>
  </si>
  <si>
    <t>Составил</t>
  </si>
  <si>
    <t>А.В.Исаев</t>
  </si>
  <si>
    <t>Проверил</t>
  </si>
  <si>
    <t>Объект</t>
  </si>
  <si>
    <t>«Реконструкция распределительных и квартальных тепловых сетей г. Благовещенска Амурской области» Объект 2: Тепловые сети в 400 квартале от ТК-7С до ТК-64 м, L = 449,69 м, D = 325 мм.</t>
  </si>
  <si>
    <t>1 квартал 2023 г.</t>
  </si>
  <si>
    <t>Внешние инженерные сети теплоснабжения (Оплата труда)</t>
  </si>
  <si>
    <t>Письмо Минстроя России 
от 30.03.2023г. №17106-ИФ/09</t>
  </si>
  <si>
    <t>Прил. 1</t>
  </si>
  <si>
    <t>Внешние инженерные сети теплоснабжения (Материалы)</t>
  </si>
  <si>
    <t>Внешние инженерные сети теплоснабжения (Эксплуатация машин)</t>
  </si>
  <si>
    <t>Прочие  (По объектам непроизводственного назначения)</t>
  </si>
  <si>
    <t>Письмо Минстроя России 
от 23.02.2023г. № 9791-ИФ/09</t>
  </si>
  <si>
    <t>Прил. №5</t>
  </si>
  <si>
    <t>Оборуд  (По объектам непроизводственного назначения)</t>
  </si>
  <si>
    <t>Прил. №6</t>
  </si>
  <si>
    <t xml:space="preserve">Изыскания </t>
  </si>
  <si>
    <t>Письмо Минстроя России 
от 30.01.2023г. № 4125-ИФ/09</t>
  </si>
  <si>
    <t>Прил. 4</t>
  </si>
  <si>
    <t xml:space="preserve">Проектные </t>
  </si>
  <si>
    <t>Пусконаладка</t>
  </si>
  <si>
    <t>Экспертиза</t>
  </si>
  <si>
    <t>Общая протяженность</t>
  </si>
  <si>
    <t>м</t>
  </si>
  <si>
    <t xml:space="preserve">ПРОЧИЕ ЗАТРАТЫ </t>
  </si>
  <si>
    <t>база</t>
  </si>
  <si>
    <t>текущие</t>
  </si>
  <si>
    <t>Объект-аналог</t>
  </si>
  <si>
    <t>Ущерб водным биоресурсам</t>
  </si>
  <si>
    <t>09-01-23-1-ООС</t>
  </si>
  <si>
    <t>Компенсационные выплаты за снос зеленых насаждений</t>
  </si>
  <si>
    <t>09-01-23-ООС</t>
  </si>
  <si>
    <t>Компенсационные выплаты за снос зеленых насаждений по ул.Пушкина от ТК-317 до ТК-320</t>
  </si>
  <si>
    <t>Методика утв. Приказом Минстрой РФ от 19.06.20г. №332/пр, Приложение 1, п.53</t>
  </si>
  <si>
    <t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</t>
  </si>
  <si>
    <t>%</t>
  </si>
  <si>
    <t>СР-1</t>
  </si>
  <si>
    <t>Стоимость размещения отходов на полигоне ТБО</t>
  </si>
  <si>
    <t>09-01-23-1-ООС  таб.3.1</t>
  </si>
  <si>
    <t>Расчёт платы за негативное воздействие на окружающую среду (выбросы загрязняющих веществ в атмосферу)</t>
  </si>
  <si>
    <t>09-01-23-1-ООС таб.3.1</t>
  </si>
  <si>
    <t>Расчёт платы за негативное воздействие на окружающую среду (размещеие отходов)</t>
  </si>
  <si>
    <t>Приложение №1 к договору №1428/21-ТП от 05.04.2021,счет №АS-з 1428/21 от 05.04.2021</t>
  </si>
  <si>
    <t>Плата за технологическое присоединение к сетям АО "ДРСК"</t>
  </si>
  <si>
    <t>Расчет затрат на экологический мониторинг</t>
  </si>
  <si>
    <t>Постановление Правительства РФ от 21.06.2010г. №468</t>
  </si>
  <si>
    <t>Строительный контроль</t>
  </si>
  <si>
    <t>Методика утв. Приказом Минстрой РФ от 04.08.2020г. №421/пр п.173</t>
  </si>
  <si>
    <t xml:space="preserve">Авторский надзор </t>
  </si>
  <si>
    <t xml:space="preserve"> Смета №1-4</t>
  </si>
  <si>
    <t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t>
  </si>
  <si>
    <t>Смета №5</t>
  </si>
  <si>
    <t>Разработка проектной документации</t>
  </si>
  <si>
    <t>Смета №6</t>
  </si>
  <si>
    <t>Разработка рабочей документации</t>
  </si>
  <si>
    <t>Постановление Правительства РФ №145от 05.03.2007г.</t>
  </si>
  <si>
    <t>Проведение государственной экспертизы по объекту</t>
  </si>
  <si>
    <t>Методика утв. Приказом Минстрой РФ от 04.08.2020г. №421/пр п.179</t>
  </si>
  <si>
    <t>Непредвиденные работы и затраты</t>
  </si>
  <si>
    <t>Возвратные суммы</t>
  </si>
  <si>
    <t>тек</t>
  </si>
  <si>
    <t>Форма № 1</t>
  </si>
  <si>
    <t xml:space="preserve">Заказчик </t>
  </si>
  <si>
    <t>(наименование организации)</t>
  </si>
  <si>
    <t>"Утвержден" «    »________________2023 г.</t>
  </si>
  <si>
    <t>(ссылка на документ об утверждении)</t>
  </si>
  <si>
    <t>СВОДНЫЙ СМЕТНЫЙ РАСЧЕТ СТОИМОСТИ СТРОИТЕЛЬСТВА № ССРСР-01</t>
  </si>
  <si>
    <t>(наименование стройки)</t>
  </si>
  <si>
    <t>№ пп</t>
  </si>
  <si>
    <t>Обоснование</t>
  </si>
  <si>
    <t>Наименование глав, объекто, капиталного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</si>
  <si>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</si>
  <si>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</si>
  <si>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</si>
  <si>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</si>
  <si>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</si>
  <si>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</si>
  <si>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</si>
  <si>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</si>
  <si>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</si>
  <si>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Итого по Главе 2</t>
  </si>
  <si>
    <t>Глава 7. Благоустройство и озеленение территории</t>
  </si>
  <si>
    <t>Итого по Главе 7</t>
  </si>
  <si>
    <t>Итого по по главам 1-7</t>
  </si>
  <si>
    <t>Глава 8. Временные здания и сооружения</t>
  </si>
  <si>
    <t>Итого по Главе 8</t>
  </si>
  <si>
    <t>Итого по по главам 1-8</t>
  </si>
  <si>
    <t>Глава 9. Прочие работы и затраты</t>
  </si>
  <si>
    <t>Итого по Главе 9</t>
  </si>
  <si>
    <t>Итого по по главам 1-9</t>
  </si>
  <si>
    <t>Глава 10. Содержание службы заказчика. Строительный контроль</t>
  </si>
  <si>
    <t>Итого по Главе 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</si>
  <si>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</si>
  <si>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</t>
  </si>
  <si>
    <t>Итого по по главам 1-12</t>
  </si>
  <si>
    <t>Непредвиденные затраты</t>
  </si>
  <si>
    <t>Непредвиденные работы и затраты 3%</t>
  </si>
  <si>
    <t>Итого с непредвиденными</t>
  </si>
  <si>
    <t>Налоги и обязательные платежи</t>
  </si>
  <si>
    <t>Закон РФ от 03.08.18 г.
№303-ФЗ.</t>
  </si>
  <si>
    <t xml:space="preserve">НДС 20% </t>
  </si>
  <si>
    <t>Возвратные суммы с НДС, тыс. руб.</t>
  </si>
  <si>
    <t>В том числе ПИР</t>
  </si>
  <si>
    <t>Заказчик:</t>
  </si>
  <si>
    <t>ОБЪЕКТНЫЙ СМЕТНЫЙ РАСЧЕТ № ОС-01-01</t>
  </si>
  <si>
    <t>Основание ________________________________________________________________________________</t>
  </si>
  <si>
    <t>Сметная стоимость ______________________________________________________________</t>
  </si>
  <si>
    <t xml:space="preserve"> тыс. руб.</t>
  </si>
  <si>
    <t>Расчетный измеритель
объекта капитального строительства _____________________________________________</t>
  </si>
  <si>
    <t>км</t>
  </si>
  <si>
    <t>Показатель единичной стоимости
на расчетный измеритель объекта капитальнго строительства_________________________</t>
  </si>
  <si>
    <t xml:space="preserve"> руб.</t>
  </si>
  <si>
    <t xml:space="preserve">Составлен в текущем уровне цен 1 кв.2023 г. </t>
  </si>
  <si>
    <t>№ п/п</t>
  </si>
  <si>
    <t>Наименование локальных сметных расчетов (смет), затрат</t>
  </si>
  <si>
    <t>Сметная стоимость, тыс.руб.</t>
  </si>
  <si>
    <t>строительных (ремонтно-строительных, ремонтно-реставрационных)
работ</t>
  </si>
  <si>
    <t>прочих
затрат</t>
  </si>
  <si>
    <t>1</t>
  </si>
  <si>
    <t>2</t>
  </si>
  <si>
    <t>3</t>
  </si>
  <si>
    <t>4</t>
  </si>
  <si>
    <t>5</t>
  </si>
  <si>
    <t>6</t>
  </si>
  <si>
    <t>7</t>
  </si>
  <si>
    <t>8</t>
  </si>
  <si>
    <t>Итого</t>
  </si>
  <si>
    <t>Всего</t>
  </si>
  <si>
    <t>ОБЪЕКТНЫЙ СМЕТНЫЙ РАСЧЕТ № ОС-06-01</t>
  </si>
  <si>
    <t xml:space="preserve">Наружные сети и сооружения водоснабжения, водоотведения, теплоснабжения и газоснабжения  </t>
  </si>
  <si>
    <t xml:space="preserve">Составлен в текущем уровне цен 1 кв.2021г. </t>
  </si>
  <si>
    <t>ЛС-06-01-01</t>
  </si>
  <si>
    <t>Ливневая канализация</t>
  </si>
  <si>
    <t>ЛС-06-01-02</t>
  </si>
  <si>
    <t>Хозяйственно-бытовая канализация</t>
  </si>
  <si>
    <t>ЛС-06-01-03</t>
  </si>
  <si>
    <t>Хозяйственно-питевой водопровод</t>
  </si>
  <si>
    <t>ЛС-06-01-04</t>
  </si>
  <si>
    <t>Переустройство тепловых сетей</t>
  </si>
  <si>
    <t>СВОДНЫЙ СМЕТНЫЙ РАСЧЕТ СТОИМОСТИ СТРОИТЕЛЬСТВА№ ССРСР-01</t>
  </si>
  <si>
    <t xml:space="preserve">Составлен в базисном уровне цен 2001г. </t>
  </si>
  <si>
    <t>ОС-01-01</t>
  </si>
  <si>
    <t>Подготовительные работы</t>
  </si>
  <si>
    <t>ЛС-02-01-01</t>
  </si>
  <si>
    <t xml:space="preserve">Тепловые сети </t>
  </si>
  <si>
    <t>ЛС-07-01-01</t>
  </si>
  <si>
    <t>Восстановление благоустройства</t>
  </si>
  <si>
    <t>Возвратные суммы, тыс. руб.</t>
  </si>
  <si>
    <t xml:space="preserve">Подготовительные работы </t>
  </si>
  <si>
    <t>ЛС-01-01-01</t>
  </si>
  <si>
    <t>Очистка территории строительства.</t>
  </si>
  <si>
    <t>ЛС-01-01-02</t>
  </si>
  <si>
    <t>Разборка существующего покрытия и тротуара</t>
  </si>
  <si>
    <t>ЛС-01-01-03</t>
  </si>
  <si>
    <t>Устройство защиты кабелей сети связи</t>
  </si>
  <si>
    <t xml:space="preserve">Наружные сети и сооружения водоснабжения, водоотведения, теплоснабжения и газоснабжения </t>
  </si>
  <si>
    <t>Стоимость возвратных сумм на 1 квартал 2023г. определилась в размере</t>
  </si>
  <si>
    <t>тыс. руб.</t>
  </si>
  <si>
    <t xml:space="preserve"> тыс. руб. </t>
  </si>
  <si>
    <t>в том числе строительно-монтажных работ</t>
  </si>
  <si>
    <t xml:space="preserve">в том числе строительно-монтажных работ </t>
  </si>
  <si>
    <t xml:space="preserve">        Стоимость 1 км составила -  </t>
  </si>
</sst>
</file>

<file path=xl/styles.xml><?xml version="1.0" encoding="utf-8"?>
<styleSheet xmlns="http://schemas.openxmlformats.org/spreadsheetml/2006/main">
  <numFmts count="11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#\ ##0.00"/>
    <numFmt numFmtId="179" formatCode="_-* #\.##0\ &quot;₽&quot;_-;\-* #\.##0\ &quot;₽&quot;_-;_-* \-\ &quot;₽&quot;_-;_-@_-"/>
    <numFmt numFmtId="180" formatCode="_-* #\.##0_-;\-* #\.##0_-;_-* &quot;-&quot;_-;_-@_-"/>
    <numFmt numFmtId="181" formatCode="#\ ##0.000"/>
    <numFmt numFmtId="182" formatCode="0.0%"/>
    <numFmt numFmtId="183" formatCode="#\ ##0"/>
    <numFmt numFmtId="184" formatCode="0.0"/>
    <numFmt numFmtId="185" formatCode="0.000"/>
    <numFmt numFmtId="186" formatCode="#\ ##0.0"/>
  </numFmts>
  <fonts count="70">
    <font>
      <sz val="11"/>
      <color theme="1"/>
      <name val="Calibri"/>
      <charset val="134"/>
      <scheme val="minor"/>
    </font>
    <font>
      <sz val="11"/>
      <color theme="1"/>
      <name val="Cambria"/>
      <charset val="204"/>
    </font>
    <font>
      <sz val="11"/>
      <name val="Cambria"/>
      <charset val="204"/>
    </font>
    <font>
      <sz val="10.5"/>
      <color theme="1"/>
      <name val="Times New Roman"/>
      <charset val="204"/>
    </font>
    <font>
      <b/>
      <sz val="10.5"/>
      <color theme="1"/>
      <name val="Times New Roman"/>
      <charset val="204"/>
    </font>
    <font>
      <sz val="10"/>
      <color theme="1"/>
      <name val="Times New Roman"/>
      <charset val="204"/>
    </font>
    <font>
      <sz val="11"/>
      <color theme="1"/>
      <name val="Times New Roman"/>
      <charset val="204"/>
    </font>
    <font>
      <b/>
      <sz val="10.5"/>
      <name val="Times New Roman"/>
      <charset val="204"/>
    </font>
    <font>
      <i/>
      <sz val="8"/>
      <name val="Times New Roman Cyr"/>
      <charset val="204"/>
    </font>
    <font>
      <b/>
      <sz val="12"/>
      <color theme="1"/>
      <name val="Times New Roman"/>
      <charset val="204"/>
    </font>
    <font>
      <b/>
      <sz val="10.5"/>
      <name val="Times New Roman Cyr"/>
      <charset val="204"/>
    </font>
    <font>
      <sz val="10.5"/>
      <name val="Times New Roman Cyr"/>
      <charset val="204"/>
    </font>
    <font>
      <sz val="11"/>
      <name val="Times New Roman Cyr"/>
      <charset val="204"/>
    </font>
    <font>
      <sz val="12"/>
      <color theme="1"/>
      <name val="Times New Roman"/>
      <charset val="204"/>
    </font>
    <font>
      <sz val="10.5"/>
      <name val="Times New Roman"/>
      <charset val="204"/>
    </font>
    <font>
      <sz val="9"/>
      <name val="Times New Roman"/>
      <charset val="204"/>
    </font>
    <font>
      <b/>
      <sz val="10"/>
      <color theme="1"/>
      <name val="Times New Roman"/>
      <charset val="204"/>
    </font>
    <font>
      <sz val="10"/>
      <color rgb="FF0000FF"/>
      <name val="Times New Roman"/>
      <charset val="204"/>
    </font>
    <font>
      <sz val="10.5"/>
      <name val="Times New Roman Cyr"/>
      <charset val="204"/>
    </font>
    <font>
      <sz val="10"/>
      <name val="Times New Roman Cyr"/>
      <charset val="204"/>
    </font>
    <font>
      <i/>
      <u/>
      <sz val="10"/>
      <color rgb="FF7030A0"/>
      <name val="Times New Roman"/>
      <charset val="204"/>
    </font>
    <font>
      <i/>
      <sz val="10"/>
      <color theme="1"/>
      <name val="Times New Roman"/>
      <charset val="204"/>
    </font>
    <font>
      <b/>
      <i/>
      <sz val="10"/>
      <color theme="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i/>
      <sz val="9"/>
      <name val="Times New Roman"/>
      <charset val="204"/>
    </font>
    <font>
      <i/>
      <sz val="10"/>
      <name val="Times New Roman"/>
      <charset val="204"/>
    </font>
    <font>
      <sz val="10"/>
      <color rgb="FFFF0000"/>
      <name val="Times New Roman"/>
      <charset val="204"/>
    </font>
    <font>
      <sz val="10"/>
      <name val="Times New Roman Cyr"/>
      <charset val="204"/>
    </font>
    <font>
      <i/>
      <sz val="10"/>
      <color rgb="FF0000FF"/>
      <name val="Times New Roman"/>
      <charset val="204"/>
    </font>
    <font>
      <b/>
      <i/>
      <sz val="10"/>
      <name val="Times New Roman"/>
      <charset val="204"/>
    </font>
    <font>
      <i/>
      <sz val="11"/>
      <color theme="1"/>
      <name val="Times New Roman"/>
      <charset val="204"/>
    </font>
    <font>
      <b/>
      <sz val="10"/>
      <color rgb="FF0000FF"/>
      <name val="Times New Roman"/>
      <charset val="204"/>
    </font>
    <font>
      <i/>
      <sz val="9"/>
      <color theme="1"/>
      <name val="Times New Roman"/>
      <charset val="204"/>
    </font>
    <font>
      <sz val="10"/>
      <color rgb="FFFF00FF"/>
      <name val="Times New Roman"/>
      <charset val="204"/>
    </font>
    <font>
      <sz val="9"/>
      <color rgb="FF0000FF"/>
      <name val="Times New Roman"/>
      <charset val="204"/>
    </font>
    <font>
      <b/>
      <i/>
      <sz val="9"/>
      <name val="Times New Roman"/>
      <charset val="204"/>
    </font>
    <font>
      <i/>
      <sz val="9"/>
      <color rgb="FF0000FF"/>
      <name val="Times New Roman"/>
      <charset val="204"/>
    </font>
    <font>
      <b/>
      <i/>
      <sz val="10"/>
      <color rgb="FF0000FF"/>
      <name val="Times New Roman"/>
      <charset val="204"/>
    </font>
    <font>
      <sz val="11"/>
      <color rgb="FFFF0000"/>
      <name val="Cambria"/>
      <charset val="204"/>
    </font>
    <font>
      <sz val="10"/>
      <name val="Cambria"/>
      <charset val="204"/>
    </font>
    <font>
      <sz val="10"/>
      <color rgb="FFFF0000"/>
      <name val="Cambria"/>
      <charset val="204"/>
    </font>
    <font>
      <sz val="10"/>
      <color rgb="FF0000FF"/>
      <name val="Cambria"/>
      <charset val="204"/>
    </font>
    <font>
      <b/>
      <sz val="10"/>
      <name val="Cambria"/>
      <charset val="204"/>
    </font>
    <font>
      <sz val="11"/>
      <name val="Calibri"/>
      <charset val="134"/>
      <scheme val="minor"/>
    </font>
    <font>
      <sz val="10"/>
      <color theme="1"/>
      <name val="Cambria"/>
      <charset val="204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0"/>
      <name val="Arial Cyr"/>
      <charset val="204"/>
    </font>
    <font>
      <sz val="12"/>
      <name val="Журнал"/>
      <charset val="204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9"/>
      <name val="Tahoma"/>
      <charset val="204"/>
    </font>
    <font>
      <b/>
      <sz val="8"/>
      <name val="Times New Roman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AD5FF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 tint="-0.349986266670736"/>
      </left>
      <right style="thin">
        <color theme="0" tint="-0.349986266670736"/>
      </right>
      <top style="thin">
        <color theme="0" tint="-0.349986266670736"/>
      </top>
      <bottom style="thin">
        <color theme="0" tint="-0.349986266670736"/>
      </bottom>
      <diagonal/>
    </border>
    <border>
      <left style="thin">
        <color theme="0" tint="-0.349986266670736"/>
      </left>
      <right/>
      <top style="thin">
        <color theme="0" tint="-0.349986266670736"/>
      </top>
      <bottom style="thin">
        <color theme="0" tint="-0.349986266670736"/>
      </bottom>
      <diagonal/>
    </border>
    <border>
      <left/>
      <right/>
      <top style="thin">
        <color theme="0" tint="-0.349986266670736"/>
      </top>
      <bottom style="thin">
        <color theme="0" tint="-0.349986266670736"/>
      </bottom>
      <diagonal/>
    </border>
    <border>
      <left/>
      <right style="thin">
        <color theme="0" tint="-0.349986266670736"/>
      </right>
      <top style="thin">
        <color theme="0" tint="-0.349986266670736"/>
      </top>
      <bottom style="thin">
        <color theme="0" tint="-0.349986266670736"/>
      </bottom>
      <diagonal/>
    </border>
    <border>
      <left style="thin">
        <color theme="0" tint="-0.349986266670736"/>
      </left>
      <right style="thin">
        <color theme="0" tint="-0.349986266670736"/>
      </right>
      <top style="thin">
        <color theme="0" tint="-0.349986266670736"/>
      </top>
      <bottom/>
      <diagonal/>
    </border>
    <border>
      <left style="thin">
        <color theme="0" tint="-0.349986266670736"/>
      </left>
      <right style="thin">
        <color theme="0" tint="-0.349986266670736"/>
      </right>
      <top/>
      <bottom style="thin">
        <color theme="0" tint="-0.349986266670736"/>
      </bottom>
      <diagonal/>
    </border>
    <border>
      <left style="thin">
        <color theme="0" tint="-0.349986266670736"/>
      </left>
      <right style="thin">
        <color theme="0" tint="-0.349986266670736"/>
      </right>
      <top/>
      <bottom/>
      <diagonal/>
    </border>
    <border>
      <left style="thin">
        <color theme="0" tint="-0.349986266670736"/>
      </left>
      <right/>
      <top style="thin">
        <color theme="0" tint="-0.349986266670736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349986266670736"/>
      </top>
      <bottom style="thin">
        <color theme="0" tint="-0.249977111117893"/>
      </bottom>
      <diagonal/>
    </border>
    <border>
      <left style="thin">
        <color theme="0" tint="-0.349986266670736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6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auto="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/>
    <xf numFmtId="0" fontId="46" fillId="12" borderId="0" applyNumberFormat="0" applyBorder="0" applyAlignment="0" applyProtection="0">
      <alignment vertical="center"/>
    </xf>
    <xf numFmtId="179" fontId="48" fillId="0" borderId="0" applyFont="0" applyFill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50" fillId="8" borderId="0" applyNumberFormat="0" applyBorder="0" applyAlignment="0" applyProtection="0">
      <alignment vertical="center"/>
    </xf>
    <xf numFmtId="180" fontId="48" fillId="0" borderId="0" applyFont="0" applyFill="0" applyBorder="0" applyAlignment="0" applyProtection="0">
      <alignment vertical="center"/>
    </xf>
    <xf numFmtId="177" fontId="48" fillId="0" borderId="0" applyFont="0" applyFill="0" applyBorder="0" applyAlignment="0" applyProtection="0">
      <alignment vertical="center"/>
    </xf>
    <xf numFmtId="176" fontId="48" fillId="0" borderId="0" applyFont="0" applyFill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9" fontId="48" fillId="0" borderId="0" applyFont="0" applyFill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56" fillId="22" borderId="31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0"/>
    <xf numFmtId="0" fontId="46" fillId="11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48" fillId="21" borderId="30" applyNumberFormat="0" applyFon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4" fillId="0" borderId="0"/>
    <xf numFmtId="0" fontId="60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2" fillId="0" borderId="33" applyNumberFormat="0" applyFill="0" applyAlignment="0" applyProtection="0">
      <alignment vertical="center"/>
    </xf>
    <xf numFmtId="0" fontId="63" fillId="0" borderId="33" applyNumberFormat="0" applyFill="0" applyAlignment="0" applyProtection="0">
      <alignment vertical="center"/>
    </xf>
    <xf numFmtId="0" fontId="65" fillId="0" borderId="35" applyNumberFormat="0" applyFill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6" fillId="25" borderId="32" applyNumberFormat="0" applyAlignment="0" applyProtection="0">
      <alignment vertical="center"/>
    </xf>
    <xf numFmtId="0" fontId="55" fillId="20" borderId="29" applyNumberFormat="0" applyAlignment="0" applyProtection="0">
      <alignment vertical="center"/>
    </xf>
    <xf numFmtId="0" fontId="61" fillId="22" borderId="32" applyNumberFormat="0" applyAlignment="0" applyProtection="0">
      <alignment vertical="center"/>
    </xf>
    <xf numFmtId="0" fontId="64" fillId="0" borderId="34" applyNumberFormat="0" applyFill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67" fillId="31" borderId="0" applyNumberFormat="0" applyBorder="0" applyAlignment="0" applyProtection="0">
      <alignment vertical="center"/>
    </xf>
    <xf numFmtId="2" fontId="54" fillId="0" borderId="0"/>
    <xf numFmtId="0" fontId="51" fillId="30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4" fillId="0" borderId="0"/>
    <xf numFmtId="0" fontId="46" fillId="26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</cellStyleXfs>
  <cellXfs count="28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178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178" fontId="2" fillId="0" borderId="0" xfId="0" applyNumberFormat="1" applyFont="1" applyAlignment="1">
      <alignment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19" applyFont="1" applyFill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5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10" fillId="0" borderId="0" xfId="19" applyFont="1" applyFill="1" applyAlignment="1">
      <alignment horizontal="left"/>
    </xf>
    <xf numFmtId="178" fontId="4" fillId="0" borderId="0" xfId="0" applyNumberFormat="1" applyFont="1" applyFill="1" applyAlignment="1">
      <alignment horizontal="right"/>
    </xf>
    <xf numFmtId="0" fontId="11" fillId="0" borderId="0" xfId="19" applyFont="1" applyFill="1" applyAlignment="1">
      <alignment horizontal="left" wrapText="1"/>
    </xf>
    <xf numFmtId="178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2" fillId="0" borderId="0" xfId="19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2" xfId="19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1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0" fontId="17" fillId="0" borderId="0" xfId="0" applyNumberFormat="1" applyFont="1" applyAlignment="1">
      <alignment horizontal="center" vertical="center"/>
    </xf>
    <xf numFmtId="0" fontId="11" fillId="0" borderId="2" xfId="19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2" fontId="18" fillId="0" borderId="2" xfId="19" applyNumberFormat="1" applyFont="1" applyFill="1" applyBorder="1" applyAlignment="1">
      <alignment horizontal="left" vertical="center" wrapText="1"/>
    </xf>
    <xf numFmtId="178" fontId="3" fillId="0" borderId="2" xfId="0" applyNumberFormat="1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10" fillId="0" borderId="2" xfId="19" applyNumberFormat="1" applyFont="1" applyFill="1" applyBorder="1" applyAlignment="1">
      <alignment horizontal="left" vertical="center" wrapText="1"/>
    </xf>
    <xf numFmtId="10" fontId="17" fillId="0" borderId="0" xfId="0" applyNumberFormat="1" applyFont="1" applyFill="1" applyAlignment="1">
      <alignment horizontal="center" vertical="center"/>
    </xf>
    <xf numFmtId="2" fontId="14" fillId="0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0" fontId="10" fillId="0" borderId="2" xfId="19" applyFont="1" applyFill="1" applyBorder="1" applyAlignment="1">
      <alignment horizontal="left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2" fontId="12" fillId="0" borderId="0" xfId="33" applyNumberFormat="1" applyFont="1" applyFill="1" applyAlignment="1">
      <alignment horizontal="left" vertical="center"/>
    </xf>
    <xf numFmtId="2" fontId="12" fillId="0" borderId="0" xfId="33" applyNumberFormat="1" applyFont="1" applyFill="1" applyAlignment="1">
      <alignment horizontal="center" vertical="center"/>
    </xf>
    <xf numFmtId="2" fontId="12" fillId="0" borderId="0" xfId="33" applyFont="1" applyFill="1" applyBorder="1" applyAlignment="1">
      <alignment vertical="center"/>
    </xf>
    <xf numFmtId="0" fontId="0" fillId="0" borderId="0" xfId="0" applyFill="1"/>
    <xf numFmtId="2" fontId="19" fillId="0" borderId="0" xfId="33" applyFont="1" applyFill="1" applyBorder="1" applyAlignment="1">
      <alignment vertical="center"/>
    </xf>
    <xf numFmtId="0" fontId="4" fillId="0" borderId="0" xfId="0" applyFont="1" applyFill="1" applyAlignment="1">
      <alignment horizontal="left"/>
    </xf>
    <xf numFmtId="178" fontId="3" fillId="0" borderId="0" xfId="0" applyNumberFormat="1" applyFont="1" applyFill="1" applyAlignment="1">
      <alignment horizontal="left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Fill="1" applyAlignment="1">
      <alignment horizontal="center"/>
    </xf>
    <xf numFmtId="181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182" fontId="17" fillId="0" borderId="0" xfId="0" applyNumberFormat="1" applyFont="1" applyAlignment="1">
      <alignment horizontal="center" vertical="center"/>
    </xf>
    <xf numFmtId="0" fontId="10" fillId="0" borderId="2" xfId="19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78" fontId="3" fillId="0" borderId="2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24" fillId="0" borderId="1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center" vertical="center"/>
    </xf>
    <xf numFmtId="178" fontId="24" fillId="0" borderId="0" xfId="0" applyNumberFormat="1" applyFont="1" applyFill="1" applyAlignment="1">
      <alignment horizontal="left" vertical="center"/>
    </xf>
    <xf numFmtId="49" fontId="27" fillId="0" borderId="0" xfId="0" applyNumberFormat="1" applyFont="1" applyFill="1" applyAlignment="1">
      <alignment horizontal="left" vertical="center"/>
    </xf>
    <xf numFmtId="0" fontId="23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178" fontId="23" fillId="0" borderId="1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2" fontId="23" fillId="0" borderId="2" xfId="0" applyNumberFormat="1" applyFont="1" applyFill="1" applyBorder="1" applyAlignment="1">
      <alignment horizontal="right" vertical="center" wrapText="1"/>
    </xf>
    <xf numFmtId="183" fontId="5" fillId="0" borderId="2" xfId="0" applyNumberFormat="1" applyFont="1" applyBorder="1" applyAlignment="1">
      <alignment horizontal="center" vertical="center"/>
    </xf>
    <xf numFmtId="178" fontId="5" fillId="0" borderId="2" xfId="0" applyNumberFormat="1" applyFont="1" applyBorder="1" applyAlignment="1">
      <alignment vertical="center"/>
    </xf>
    <xf numFmtId="178" fontId="5" fillId="0" borderId="2" xfId="0" applyNumberFormat="1" applyFont="1" applyBorder="1" applyAlignment="1">
      <alignment vertical="center" wrapText="1"/>
    </xf>
    <xf numFmtId="178" fontId="23" fillId="0" borderId="2" xfId="0" applyNumberFormat="1" applyFont="1" applyFill="1" applyBorder="1" applyAlignment="1">
      <alignment horizontal="left" vertical="center"/>
    </xf>
    <xf numFmtId="178" fontId="24" fillId="0" borderId="2" xfId="0" applyNumberFormat="1" applyFont="1" applyFill="1" applyBorder="1" applyAlignment="1">
      <alignment horizontal="left" vertical="center" wrapText="1"/>
    </xf>
    <xf numFmtId="178" fontId="24" fillId="0" borderId="2" xfId="0" applyNumberFormat="1" applyFont="1" applyFill="1" applyBorder="1" applyAlignment="1">
      <alignment horizontal="right" vertical="center" wrapText="1"/>
    </xf>
    <xf numFmtId="178" fontId="23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183" fontId="23" fillId="0" borderId="2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vertical="center"/>
    </xf>
    <xf numFmtId="178" fontId="23" fillId="0" borderId="2" xfId="0" applyNumberFormat="1" applyFont="1" applyFill="1" applyBorder="1" applyAlignment="1">
      <alignment horizontal="left" vertical="center" wrapText="1"/>
    </xf>
    <xf numFmtId="178" fontId="23" fillId="0" borderId="2" xfId="0" applyNumberFormat="1" applyFont="1" applyFill="1" applyBorder="1" applyAlignment="1">
      <alignment horizontal="right" vertical="center" wrapText="1"/>
    </xf>
    <xf numFmtId="49" fontId="23" fillId="0" borderId="2" xfId="0" applyNumberFormat="1" applyFont="1" applyFill="1" applyBorder="1" applyAlignment="1">
      <alignment horizontal="left" vertical="center"/>
    </xf>
    <xf numFmtId="183" fontId="19" fillId="0" borderId="2" xfId="19" applyNumberFormat="1" applyFont="1" applyFill="1" applyBorder="1" applyAlignment="1">
      <alignment horizontal="center" vertical="center" wrapText="1"/>
    </xf>
    <xf numFmtId="2" fontId="23" fillId="0" borderId="2" xfId="0" applyNumberFormat="1" applyFont="1" applyFill="1" applyBorder="1" applyAlignment="1">
      <alignment horizontal="left" vertical="center" wrapText="1"/>
    </xf>
    <xf numFmtId="2" fontId="28" fillId="0" borderId="2" xfId="19" applyNumberFormat="1" applyFont="1" applyFill="1" applyBorder="1" applyAlignment="1">
      <alignment horizontal="left" vertical="center" wrapText="1"/>
    </xf>
    <xf numFmtId="178" fontId="5" fillId="0" borderId="2" xfId="0" applyNumberFormat="1" applyFont="1" applyBorder="1" applyAlignment="1">
      <alignment horizontal="right" vertical="center"/>
    </xf>
    <xf numFmtId="178" fontId="5" fillId="2" borderId="2" xfId="0" applyNumberFormat="1" applyFont="1" applyFill="1" applyBorder="1" applyAlignment="1">
      <alignment vertical="center" wrapText="1"/>
    </xf>
    <xf numFmtId="178" fontId="5" fillId="2" borderId="2" xfId="0" applyNumberFormat="1" applyFont="1" applyFill="1" applyBorder="1" applyAlignment="1">
      <alignment vertical="center"/>
    </xf>
    <xf numFmtId="178" fontId="23" fillId="2" borderId="2" xfId="0" applyNumberFormat="1" applyFont="1" applyFill="1" applyBorder="1" applyAlignment="1">
      <alignment vertical="center"/>
    </xf>
    <xf numFmtId="178" fontId="5" fillId="3" borderId="2" xfId="0" applyNumberFormat="1" applyFont="1" applyFill="1" applyBorder="1" applyAlignment="1">
      <alignment vertical="center" wrapText="1"/>
    </xf>
    <xf numFmtId="178" fontId="5" fillId="3" borderId="2" xfId="0" applyNumberFormat="1" applyFont="1" applyFill="1" applyBorder="1" applyAlignment="1">
      <alignment vertical="center"/>
    </xf>
    <xf numFmtId="178" fontId="5" fillId="0" borderId="2" xfId="0" applyNumberFormat="1" applyFont="1" applyFill="1" applyBorder="1" applyAlignment="1">
      <alignment vertical="center" wrapText="1"/>
    </xf>
    <xf numFmtId="10" fontId="17" fillId="0" borderId="4" xfId="0" applyNumberFormat="1" applyFont="1" applyBorder="1" applyAlignment="1">
      <alignment horizontal="center" vertical="center"/>
    </xf>
    <xf numFmtId="1" fontId="23" fillId="0" borderId="2" xfId="0" applyNumberFormat="1" applyFont="1" applyFill="1" applyBorder="1" applyAlignment="1">
      <alignment horizontal="center" vertical="center"/>
    </xf>
    <xf numFmtId="178" fontId="5" fillId="0" borderId="2" xfId="0" applyNumberFormat="1" applyFont="1" applyBorder="1" applyAlignment="1">
      <alignment horizontal="left" vertical="center" wrapText="1"/>
    </xf>
    <xf numFmtId="0" fontId="29" fillId="0" borderId="0" xfId="0" applyFont="1" applyAlignment="1">
      <alignment horizontal="center" vertical="center"/>
    </xf>
    <xf numFmtId="178" fontId="30" fillId="0" borderId="2" xfId="0" applyNumberFormat="1" applyFont="1" applyFill="1" applyBorder="1" applyAlignment="1">
      <alignment horizontal="right" vertical="center" wrapText="1"/>
    </xf>
    <xf numFmtId="1" fontId="23" fillId="2" borderId="2" xfId="0" applyNumberFormat="1" applyFont="1" applyFill="1" applyBorder="1" applyAlignment="1">
      <alignment horizontal="center" vertical="center"/>
    </xf>
    <xf numFmtId="2" fontId="23" fillId="2" borderId="2" xfId="0" applyNumberFormat="1" applyFont="1" applyFill="1" applyBorder="1" applyAlignment="1">
      <alignment horizontal="left" vertical="center" wrapText="1"/>
    </xf>
    <xf numFmtId="178" fontId="23" fillId="2" borderId="2" xfId="0" applyNumberFormat="1" applyFont="1" applyFill="1" applyBorder="1" applyAlignment="1">
      <alignment horizontal="left" vertical="center" wrapText="1"/>
    </xf>
    <xf numFmtId="178" fontId="30" fillId="2" borderId="2" xfId="0" applyNumberFormat="1" applyFont="1" applyFill="1" applyBorder="1" applyAlignment="1">
      <alignment horizontal="right" vertical="center" wrapText="1"/>
    </xf>
    <xf numFmtId="178" fontId="5" fillId="2" borderId="2" xfId="0" applyNumberFormat="1" applyFont="1" applyFill="1" applyBorder="1" applyAlignment="1">
      <alignment horizontal="right" vertical="center"/>
    </xf>
    <xf numFmtId="9" fontId="17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30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2" fontId="23" fillId="0" borderId="0" xfId="0" applyNumberFormat="1" applyFont="1" applyFill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right" vertical="center"/>
    </xf>
    <xf numFmtId="2" fontId="5" fillId="0" borderId="0" xfId="0" applyNumberFormat="1" applyFont="1" applyAlignment="1">
      <alignment vertical="center"/>
    </xf>
    <xf numFmtId="178" fontId="32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center"/>
    </xf>
    <xf numFmtId="178" fontId="5" fillId="0" borderId="0" xfId="0" applyNumberFormat="1" applyFont="1" applyAlignment="1">
      <alignment vertical="center"/>
    </xf>
    <xf numFmtId="178" fontId="23" fillId="2" borderId="2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/>
    </xf>
    <xf numFmtId="178" fontId="23" fillId="3" borderId="2" xfId="0" applyNumberFormat="1" applyFont="1" applyFill="1" applyBorder="1" applyAlignment="1">
      <alignment horizontal="right" vertical="center" wrapText="1"/>
    </xf>
    <xf numFmtId="0" fontId="21" fillId="0" borderId="0" xfId="0" applyFont="1" applyBorder="1" applyAlignment="1">
      <alignment horizontal="center" vertical="center"/>
    </xf>
    <xf numFmtId="178" fontId="22" fillId="0" borderId="2" xfId="0" applyNumberFormat="1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178" fontId="21" fillId="0" borderId="2" xfId="0" applyNumberFormat="1" applyFont="1" applyBorder="1" applyAlignment="1">
      <alignment vertical="center"/>
    </xf>
    <xf numFmtId="178" fontId="21" fillId="0" borderId="0" xfId="0" applyNumberFormat="1" applyFont="1" applyBorder="1" applyAlignment="1">
      <alignment vertical="center"/>
    </xf>
    <xf numFmtId="0" fontId="23" fillId="0" borderId="1" xfId="0" applyFont="1" applyFill="1" applyBorder="1" applyAlignment="1">
      <alignment horizontal="right" vertical="center"/>
    </xf>
    <xf numFmtId="0" fontId="23" fillId="0" borderId="0" xfId="0" applyFont="1" applyFill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2" fontId="23" fillId="0" borderId="0" xfId="0" applyNumberFormat="1" applyFont="1" applyFill="1" applyAlignment="1">
      <alignment horizontal="left"/>
    </xf>
    <xf numFmtId="0" fontId="33" fillId="0" borderId="0" xfId="0" applyFont="1" applyAlignment="1">
      <alignment vertical="center"/>
    </xf>
    <xf numFmtId="0" fontId="25" fillId="0" borderId="3" xfId="0" applyFont="1" applyFill="1" applyBorder="1" applyAlignment="1">
      <alignment horizontal="center" vertical="top"/>
    </xf>
    <xf numFmtId="0" fontId="23" fillId="0" borderId="5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178" fontId="5" fillId="0" borderId="2" xfId="0" applyNumberFormat="1" applyFont="1" applyFill="1" applyBorder="1" applyAlignment="1">
      <alignment horizontal="right" vertical="center"/>
    </xf>
    <xf numFmtId="183" fontId="23" fillId="2" borderId="2" xfId="0" applyNumberFormat="1" applyFont="1" applyFill="1" applyBorder="1" applyAlignment="1">
      <alignment horizontal="center" vertical="center" wrapText="1"/>
    </xf>
    <xf numFmtId="178" fontId="34" fillId="2" borderId="2" xfId="0" applyNumberFormat="1" applyFont="1" applyFill="1" applyBorder="1" applyAlignment="1">
      <alignment vertical="center"/>
    </xf>
    <xf numFmtId="0" fontId="23" fillId="3" borderId="2" xfId="0" applyFont="1" applyFill="1" applyBorder="1" applyAlignment="1">
      <alignment horizontal="center" vertical="center" wrapText="1"/>
    </xf>
    <xf numFmtId="178" fontId="34" fillId="3" borderId="2" xfId="0" applyNumberFormat="1" applyFont="1" applyFill="1" applyBorder="1" applyAlignment="1">
      <alignment vertical="center"/>
    </xf>
    <xf numFmtId="178" fontId="34" fillId="0" borderId="2" xfId="0" applyNumberFormat="1" applyFont="1" applyFill="1" applyBorder="1" applyAlignment="1">
      <alignment vertical="center"/>
    </xf>
    <xf numFmtId="178" fontId="23" fillId="0" borderId="7" xfId="0" applyNumberFormat="1" applyFont="1" applyFill="1" applyBorder="1" applyAlignment="1">
      <alignment horizontal="left" vertical="center" wrapText="1"/>
    </xf>
    <xf numFmtId="10" fontId="35" fillId="0" borderId="0" xfId="0" applyNumberFormat="1" applyFont="1" applyAlignment="1">
      <alignment horizontal="center" vertical="center"/>
    </xf>
    <xf numFmtId="1" fontId="15" fillId="0" borderId="2" xfId="0" applyNumberFormat="1" applyFont="1" applyFill="1" applyBorder="1" applyAlignment="1">
      <alignment horizontal="center" vertical="center"/>
    </xf>
    <xf numFmtId="2" fontId="15" fillId="0" borderId="2" xfId="0" applyNumberFormat="1" applyFont="1" applyFill="1" applyBorder="1" applyAlignment="1">
      <alignment horizontal="left" vertical="center" wrapText="1"/>
    </xf>
    <xf numFmtId="178" fontId="15" fillId="0" borderId="2" xfId="0" applyNumberFormat="1" applyFont="1" applyFill="1" applyBorder="1" applyAlignment="1">
      <alignment horizontal="left" vertical="center" wrapText="1"/>
    </xf>
    <xf numFmtId="178" fontId="36" fillId="0" borderId="2" xfId="0" applyNumberFormat="1" applyFont="1" applyFill="1" applyBorder="1" applyAlignment="1">
      <alignment horizontal="right" vertical="center" wrapText="1"/>
    </xf>
    <xf numFmtId="0" fontId="37" fillId="0" borderId="0" xfId="0" applyFont="1" applyAlignment="1">
      <alignment horizontal="center" vertical="center"/>
    </xf>
    <xf numFmtId="1" fontId="15" fillId="2" borderId="2" xfId="0" applyNumberFormat="1" applyFont="1" applyFill="1" applyBorder="1" applyAlignment="1">
      <alignment horizontal="center" vertical="center"/>
    </xf>
    <xf numFmtId="2" fontId="15" fillId="2" borderId="8" xfId="0" applyNumberFormat="1" applyFont="1" applyFill="1" applyBorder="1" applyAlignment="1">
      <alignment horizontal="left" vertical="center" wrapText="1"/>
    </xf>
    <xf numFmtId="178" fontId="36" fillId="2" borderId="2" xfId="0" applyNumberFormat="1" applyFont="1" applyFill="1" applyBorder="1" applyAlignment="1">
      <alignment horizontal="right" vertical="center" wrapText="1"/>
    </xf>
    <xf numFmtId="178" fontId="15" fillId="2" borderId="2" xfId="0" applyNumberFormat="1" applyFont="1" applyFill="1" applyBorder="1" applyAlignment="1">
      <alignment horizontal="right" vertical="center" wrapText="1"/>
    </xf>
    <xf numFmtId="1" fontId="23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left" vertical="center"/>
    </xf>
    <xf numFmtId="178" fontId="30" fillId="0" borderId="2" xfId="0" applyNumberFormat="1" applyFont="1" applyFill="1" applyBorder="1" applyAlignment="1">
      <alignment horizontal="right" vertical="center"/>
    </xf>
    <xf numFmtId="178" fontId="23" fillId="0" borderId="0" xfId="0" applyNumberFormat="1" applyFont="1" applyFill="1" applyAlignment="1">
      <alignment vertical="center"/>
    </xf>
    <xf numFmtId="178" fontId="6" fillId="0" borderId="0" xfId="0" applyNumberFormat="1" applyFont="1" applyAlignment="1">
      <alignment vertical="center"/>
    </xf>
    <xf numFmtId="2" fontId="33" fillId="0" borderId="0" xfId="0" applyNumberFormat="1" applyFont="1" applyBorder="1" applyAlignment="1">
      <alignment horizontal="center" vertical="center"/>
    </xf>
    <xf numFmtId="178" fontId="15" fillId="0" borderId="2" xfId="0" applyNumberFormat="1" applyFont="1" applyFill="1" applyBorder="1" applyAlignment="1">
      <alignment horizontal="right" vertical="center" wrapText="1"/>
    </xf>
    <xf numFmtId="0" fontId="2" fillId="4" borderId="0" xfId="0" applyFont="1" applyFill="1"/>
    <xf numFmtId="0" fontId="39" fillId="4" borderId="0" xfId="0" applyFont="1" applyFill="1"/>
    <xf numFmtId="0" fontId="2" fillId="0" borderId="0" xfId="0" applyFont="1"/>
    <xf numFmtId="0" fontId="39" fillId="0" borderId="0" xfId="0" applyFont="1"/>
    <xf numFmtId="0" fontId="40" fillId="4" borderId="9" xfId="0" applyFont="1" applyFill="1" applyBorder="1" applyAlignment="1">
      <alignment vertical="center"/>
    </xf>
    <xf numFmtId="0" fontId="40" fillId="4" borderId="10" xfId="0" applyFont="1" applyFill="1" applyBorder="1" applyAlignment="1">
      <alignment horizontal="left" vertical="center"/>
    </xf>
    <xf numFmtId="0" fontId="40" fillId="4" borderId="11" xfId="0" applyFont="1" applyFill="1" applyBorder="1" applyAlignment="1">
      <alignment horizontal="left" vertical="center"/>
    </xf>
    <xf numFmtId="0" fontId="40" fillId="4" borderId="12" xfId="0" applyFont="1" applyFill="1" applyBorder="1" applyAlignment="1">
      <alignment horizontal="left" vertical="center"/>
    </xf>
    <xf numFmtId="0" fontId="40" fillId="4" borderId="0" xfId="0" applyFont="1" applyFill="1" applyAlignment="1">
      <alignment vertical="center"/>
    </xf>
    <xf numFmtId="0" fontId="40" fillId="4" borderId="13" xfId="0" applyFont="1" applyFill="1" applyBorder="1" applyAlignment="1">
      <alignment horizontal="left" vertical="center"/>
    </xf>
    <xf numFmtId="0" fontId="40" fillId="4" borderId="10" xfId="0" applyFont="1" applyFill="1" applyBorder="1" applyAlignment="1">
      <alignment horizontal="left" vertical="center" wrapText="1"/>
    </xf>
    <xf numFmtId="0" fontId="40" fillId="4" borderId="11" xfId="0" applyFont="1" applyFill="1" applyBorder="1" applyAlignment="1">
      <alignment horizontal="left" vertical="center" wrapText="1"/>
    </xf>
    <xf numFmtId="0" fontId="40" fillId="4" borderId="14" xfId="0" applyFont="1" applyFill="1" applyBorder="1" applyAlignment="1">
      <alignment horizontal="left" vertical="center"/>
    </xf>
    <xf numFmtId="0" fontId="40" fillId="4" borderId="12" xfId="0" applyFont="1" applyFill="1" applyBorder="1" applyAlignment="1">
      <alignment horizontal="left" vertical="center" wrapText="1"/>
    </xf>
    <xf numFmtId="0" fontId="40" fillId="4" borderId="0" xfId="0" applyFont="1" applyFill="1" applyBorder="1" applyAlignment="1">
      <alignment horizontal="left" vertical="center" wrapText="1"/>
    </xf>
    <xf numFmtId="0" fontId="40" fillId="4" borderId="0" xfId="0" applyFont="1" applyFill="1" applyBorder="1" applyAlignment="1">
      <alignment horizontal="left" vertical="center"/>
    </xf>
    <xf numFmtId="0" fontId="41" fillId="4" borderId="14" xfId="0" applyFont="1" applyFill="1" applyBorder="1" applyAlignment="1">
      <alignment horizontal="left" vertical="center"/>
    </xf>
    <xf numFmtId="0" fontId="40" fillId="4" borderId="10" xfId="0" applyFont="1" applyFill="1" applyBorder="1" applyAlignment="1">
      <alignment vertical="center"/>
    </xf>
    <xf numFmtId="0" fontId="41" fillId="4" borderId="11" xfId="0" applyFont="1" applyFill="1" applyBorder="1" applyAlignment="1">
      <alignment horizontal="center" vertical="center"/>
    </xf>
    <xf numFmtId="0" fontId="41" fillId="4" borderId="12" xfId="0" applyFont="1" applyFill="1" applyBorder="1" applyAlignment="1">
      <alignment horizontal="center" vertical="center"/>
    </xf>
    <xf numFmtId="0" fontId="41" fillId="4" borderId="0" xfId="0" applyFont="1" applyFill="1" applyAlignment="1">
      <alignment vertical="center"/>
    </xf>
    <xf numFmtId="0" fontId="40" fillId="4" borderId="9" xfId="0" applyFont="1" applyFill="1" applyBorder="1" applyAlignment="1">
      <alignment horizontal="left" vertical="center" wrapText="1"/>
    </xf>
    <xf numFmtId="0" fontId="40" fillId="4" borderId="9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center" vertical="center" wrapText="1"/>
    </xf>
    <xf numFmtId="0" fontId="40" fillId="4" borderId="13" xfId="0" applyFont="1" applyFill="1" applyBorder="1" applyAlignment="1">
      <alignment horizontal="center" vertical="center"/>
    </xf>
    <xf numFmtId="0" fontId="41" fillId="4" borderId="9" xfId="0" applyFont="1" applyFill="1" applyBorder="1" applyAlignment="1">
      <alignment vertical="center"/>
    </xf>
    <xf numFmtId="0" fontId="40" fillId="4" borderId="15" xfId="0" applyFont="1" applyFill="1" applyBorder="1" applyAlignment="1">
      <alignment horizontal="center" vertical="center" wrapText="1"/>
    </xf>
    <xf numFmtId="0" fontId="40" fillId="4" borderId="15" xfId="0" applyFont="1" applyFill="1" applyBorder="1" applyAlignment="1">
      <alignment horizontal="center" vertical="center"/>
    </xf>
    <xf numFmtId="0" fontId="40" fillId="4" borderId="14" xfId="0" applyFont="1" applyFill="1" applyBorder="1" applyAlignment="1">
      <alignment horizontal="center" vertical="center" wrapText="1"/>
    </xf>
    <xf numFmtId="0" fontId="40" fillId="4" borderId="14" xfId="0" applyFont="1" applyFill="1" applyBorder="1" applyAlignment="1">
      <alignment horizontal="center" vertical="center"/>
    </xf>
    <xf numFmtId="0" fontId="42" fillId="4" borderId="9" xfId="0" applyFont="1" applyFill="1" applyBorder="1" applyAlignment="1">
      <alignment horizontal="left" vertical="center" wrapText="1"/>
    </xf>
    <xf numFmtId="2" fontId="42" fillId="4" borderId="9" xfId="0" applyNumberFormat="1" applyFont="1" applyFill="1" applyBorder="1" applyAlignment="1">
      <alignment horizontal="left" vertical="center"/>
    </xf>
    <xf numFmtId="2" fontId="42" fillId="4" borderId="13" xfId="0" applyNumberFormat="1" applyFont="1" applyFill="1" applyBorder="1" applyAlignment="1">
      <alignment horizontal="center" vertical="center" wrapText="1"/>
    </xf>
    <xf numFmtId="0" fontId="42" fillId="4" borderId="9" xfId="0" applyFont="1" applyFill="1" applyBorder="1" applyAlignment="1">
      <alignment vertical="center"/>
    </xf>
    <xf numFmtId="0" fontId="42" fillId="4" borderId="14" xfId="0" applyFont="1" applyFill="1" applyBorder="1" applyAlignment="1">
      <alignment horizontal="left" vertical="center" wrapText="1"/>
    </xf>
    <xf numFmtId="0" fontId="42" fillId="4" borderId="9" xfId="0" applyFont="1" applyFill="1" applyBorder="1" applyAlignment="1">
      <alignment horizontal="left" vertical="center"/>
    </xf>
    <xf numFmtId="2" fontId="42" fillId="4" borderId="14" xfId="0" applyNumberFormat="1" applyFont="1" applyFill="1" applyBorder="1" applyAlignment="1">
      <alignment horizontal="center" vertical="center"/>
    </xf>
    <xf numFmtId="0" fontId="41" fillId="4" borderId="13" xfId="0" applyFont="1" applyFill="1" applyBorder="1" applyAlignment="1">
      <alignment horizontal="left" vertical="center"/>
    </xf>
    <xf numFmtId="0" fontId="41" fillId="4" borderId="13" xfId="0" applyFont="1" applyFill="1" applyBorder="1" applyAlignment="1">
      <alignment vertical="center"/>
    </xf>
    <xf numFmtId="0" fontId="43" fillId="5" borderId="16" xfId="0" applyFont="1" applyFill="1" applyBorder="1" applyAlignment="1">
      <alignment horizontal="center" vertical="center"/>
    </xf>
    <xf numFmtId="0" fontId="43" fillId="5" borderId="17" xfId="0" applyFont="1" applyFill="1" applyBorder="1" applyAlignment="1">
      <alignment horizontal="center" vertical="center"/>
    </xf>
    <xf numFmtId="0" fontId="40" fillId="5" borderId="17" xfId="0" applyFont="1" applyFill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40" fillId="5" borderId="18" xfId="0" applyFont="1" applyFill="1" applyBorder="1" applyAlignment="1">
      <alignment vertical="center"/>
    </xf>
    <xf numFmtId="2" fontId="40" fillId="5" borderId="19" xfId="0" applyNumberFormat="1" applyFont="1" applyFill="1" applyBorder="1" applyAlignment="1">
      <alignment horizontal="left" vertical="center" wrapText="1"/>
    </xf>
    <xf numFmtId="2" fontId="40" fillId="5" borderId="20" xfId="0" applyNumberFormat="1" applyFont="1" applyFill="1" applyBorder="1" applyAlignment="1">
      <alignment horizontal="left" vertical="center" wrapText="1"/>
    </xf>
    <xf numFmtId="178" fontId="41" fillId="5" borderId="20" xfId="0" applyNumberFormat="1" applyFont="1" applyFill="1" applyBorder="1" applyAlignment="1">
      <alignment horizontal="right" vertical="center"/>
    </xf>
    <xf numFmtId="178" fontId="40" fillId="5" borderId="21" xfId="0" applyNumberFormat="1" applyFont="1" applyFill="1" applyBorder="1" applyAlignment="1">
      <alignment horizontal="right" vertical="center"/>
    </xf>
    <xf numFmtId="184" fontId="40" fillId="0" borderId="0" xfId="0" applyNumberFormat="1" applyFont="1" applyFill="1" applyBorder="1" applyAlignment="1">
      <alignment vertical="center"/>
    </xf>
    <xf numFmtId="0" fontId="40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vertical="center"/>
    </xf>
    <xf numFmtId="185" fontId="40" fillId="0" borderId="0" xfId="0" applyNumberFormat="1" applyFont="1" applyFill="1" applyBorder="1" applyAlignment="1">
      <alignment vertical="center"/>
    </xf>
    <xf numFmtId="0" fontId="40" fillId="5" borderId="18" xfId="0" applyFont="1" applyFill="1" applyBorder="1" applyAlignment="1">
      <alignment vertical="center" wrapText="1"/>
    </xf>
    <xf numFmtId="186" fontId="40" fillId="5" borderId="20" xfId="0" applyNumberFormat="1" applyFont="1" applyFill="1" applyBorder="1" applyAlignment="1">
      <alignment horizontal="right" vertical="center"/>
    </xf>
    <xf numFmtId="184" fontId="40" fillId="0" borderId="0" xfId="0" applyNumberFormat="1" applyFont="1" applyFill="1" applyBorder="1" applyAlignment="1">
      <alignment horizontal="center" vertical="center"/>
    </xf>
    <xf numFmtId="2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vertical="center"/>
    </xf>
    <xf numFmtId="178" fontId="40" fillId="5" borderId="20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44" fillId="5" borderId="20" xfId="0" applyFont="1" applyFill="1" applyBorder="1" applyAlignment="1">
      <alignment horizontal="left" vertical="center" wrapText="1"/>
    </xf>
    <xf numFmtId="0" fontId="40" fillId="5" borderId="22" xfId="0" applyFont="1" applyFill="1" applyBorder="1" applyAlignment="1">
      <alignment vertical="center" wrapText="1"/>
    </xf>
    <xf numFmtId="2" fontId="40" fillId="5" borderId="23" xfId="0" applyNumberFormat="1" applyFont="1" applyFill="1" applyBorder="1" applyAlignment="1">
      <alignment horizontal="left" vertical="center" wrapText="1"/>
    </xf>
    <xf numFmtId="2" fontId="40" fillId="5" borderId="24" xfId="0" applyNumberFormat="1" applyFont="1" applyFill="1" applyBorder="1" applyAlignment="1">
      <alignment horizontal="left" vertical="center" wrapText="1"/>
    </xf>
    <xf numFmtId="178" fontId="40" fillId="5" borderId="24" xfId="0" applyNumberFormat="1" applyFont="1" applyFill="1" applyBorder="1" applyAlignment="1">
      <alignment horizontal="right" vertical="center"/>
    </xf>
    <xf numFmtId="2" fontId="40" fillId="5" borderId="25" xfId="0" applyNumberFormat="1" applyFont="1" applyFill="1" applyBorder="1" applyAlignment="1">
      <alignment horizontal="left" vertical="center" wrapText="1"/>
    </xf>
    <xf numFmtId="0" fontId="44" fillId="5" borderId="26" xfId="0" applyFont="1" applyFill="1" applyBorder="1" applyAlignment="1">
      <alignment horizontal="left" vertical="center" wrapText="1"/>
    </xf>
    <xf numFmtId="0" fontId="45" fillId="4" borderId="2" xfId="0" applyFont="1" applyFill="1" applyBorder="1" applyAlignment="1">
      <alignment vertical="center" wrapText="1"/>
    </xf>
    <xf numFmtId="0" fontId="45" fillId="4" borderId="2" xfId="0" applyFont="1" applyFill="1" applyBorder="1" applyAlignment="1">
      <alignment horizontal="left" vertical="center"/>
    </xf>
    <xf numFmtId="0" fontId="45" fillId="4" borderId="2" xfId="0" applyFont="1" applyFill="1" applyBorder="1" applyAlignment="1">
      <alignment horizontal="right" vertical="center"/>
    </xf>
    <xf numFmtId="0" fontId="40" fillId="4" borderId="2" xfId="0" applyFont="1" applyFill="1" applyBorder="1" applyAlignment="1">
      <alignment vertical="center" wrapText="1"/>
    </xf>
    <xf numFmtId="0" fontId="40" fillId="4" borderId="2" xfId="0" applyFont="1" applyFill="1" applyBorder="1" applyAlignment="1">
      <alignment horizontal="left" vertical="center"/>
    </xf>
    <xf numFmtId="0" fontId="40" fillId="4" borderId="2" xfId="0" applyFont="1" applyFill="1" applyBorder="1" applyAlignment="1">
      <alignment horizontal="right" vertical="center"/>
    </xf>
    <xf numFmtId="178" fontId="40" fillId="4" borderId="2" xfId="0" applyNumberFormat="1" applyFont="1" applyFill="1" applyBorder="1" applyAlignment="1">
      <alignment vertical="center" wrapText="1"/>
    </xf>
    <xf numFmtId="178" fontId="40" fillId="4" borderId="2" xfId="0" applyNumberFormat="1" applyFont="1" applyFill="1" applyBorder="1" applyAlignment="1">
      <alignment horizontal="left" vertical="center" wrapText="1"/>
    </xf>
    <xf numFmtId="178" fontId="40" fillId="4" borderId="2" xfId="0" applyNumberFormat="1" applyFont="1" applyFill="1" applyBorder="1" applyAlignment="1">
      <alignment vertical="center"/>
    </xf>
    <xf numFmtId="178" fontId="40" fillId="4" borderId="5" xfId="0" applyNumberFormat="1" applyFont="1" applyFill="1" applyBorder="1" applyAlignment="1">
      <alignment horizontal="left" vertical="center" wrapText="1"/>
    </xf>
    <xf numFmtId="178" fontId="40" fillId="4" borderId="27" xfId="0" applyNumberFormat="1" applyFont="1" applyFill="1" applyBorder="1" applyAlignment="1">
      <alignment horizontal="left" vertical="center" wrapText="1"/>
    </xf>
    <xf numFmtId="178" fontId="41" fillId="0" borderId="0" xfId="0" applyNumberFormat="1" applyFont="1" applyFill="1" applyAlignment="1">
      <alignment vertical="center"/>
    </xf>
    <xf numFmtId="0" fontId="40" fillId="4" borderId="2" xfId="0" applyFont="1" applyFill="1" applyBorder="1" applyAlignment="1">
      <alignment vertical="center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39" fillId="4" borderId="0" xfId="0" applyNumberFormat="1" applyFont="1" applyFill="1"/>
    <xf numFmtId="185" fontId="39" fillId="4" borderId="0" xfId="0" applyNumberFormat="1" applyFont="1" applyFill="1"/>
    <xf numFmtId="0" fontId="41" fillId="0" borderId="0" xfId="0" applyFont="1"/>
    <xf numFmtId="178" fontId="39" fillId="0" borderId="0" xfId="0" applyNumberFormat="1" applyFont="1"/>
  </cellXfs>
  <cellStyles count="53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Обычный 3" xfId="14"/>
    <cellStyle name="40% — Акцент4" xfId="15" builtinId="43"/>
    <cellStyle name="Открывавшаяся гиперссылка" xfId="16" builtinId="9"/>
    <cellStyle name="Примечание" xfId="17" builtinId="10"/>
    <cellStyle name="Предупреждающий текст" xfId="18" builtinId="11"/>
    <cellStyle name="Обычный_Объек-1" xfId="19"/>
    <cellStyle name="Заголовок" xfId="20" builtinId="15"/>
    <cellStyle name="Пояснительный текст" xfId="21" builtinId="53"/>
    <cellStyle name="Заголовок 1" xfId="22" builtinId="16"/>
    <cellStyle name="Заголовок 2" xfId="23" builtinId="17"/>
    <cellStyle name="Заголовок 3" xfId="24" builtinId="18"/>
    <cellStyle name="Заголовок 4" xfId="25" builtinId="19"/>
    <cellStyle name="Ввод" xfId="26" builtinId="20"/>
    <cellStyle name="Проверить ячейку" xfId="27" builtinId="23"/>
    <cellStyle name="Вычисление" xfId="28" builtinId="22"/>
    <cellStyle name="Связанная ячейка" xfId="29" builtinId="24"/>
    <cellStyle name="Плохой" xfId="30" builtinId="27"/>
    <cellStyle name="Акцент5" xfId="31" builtinId="45"/>
    <cellStyle name="Нейтральный" xfId="32" builtinId="28"/>
    <cellStyle name="Обычный_S2-ETAL" xfId="33"/>
    <cellStyle name="Акцент1" xfId="34" builtinId="29"/>
    <cellStyle name="20% — Акцент1" xfId="35" builtinId="30"/>
    <cellStyle name="40% — Акцент1" xfId="36" builtinId="31"/>
    <cellStyle name="20% — Акцент5" xfId="37" builtinId="46"/>
    <cellStyle name="60% — Акцент1" xfId="38" builtinId="32"/>
    <cellStyle name="Акцент2" xfId="39" builtinId="33"/>
    <cellStyle name="40% — Акцент2" xfId="40" builtinId="35"/>
    <cellStyle name="20% — Акцент6" xfId="41" builtinId="50"/>
    <cellStyle name="60% — Акцент2" xfId="42" builtinId="36"/>
    <cellStyle name="Акцент3" xfId="43" builtinId="37"/>
    <cellStyle name="Обычный 2" xfId="44"/>
    <cellStyle name="40% — Акцент3" xfId="45" builtinId="39"/>
    <cellStyle name="60% — Акцент3" xfId="46" builtinId="40"/>
    <cellStyle name="Акцент4" xfId="47" builtinId="41"/>
    <cellStyle name="20% — Акцент4" xfId="48" builtinId="42"/>
    <cellStyle name="60% — Акцент4" xfId="49" builtinId="44"/>
    <cellStyle name="60% — Акцент5" xfId="50" builtinId="48"/>
    <cellStyle name="Акцент6" xfId="51" builtinId="49"/>
    <cellStyle name="60% — Акцент6" xfId="52" builtinId="52"/>
  </cellStyles>
  <tableStyles count="0" defaultTableStyle="TableStyleMedium2" defaultPivotStyle="PivotStyleLight16"/>
  <colors>
    <mruColors>
      <color rgb="000000FF"/>
      <color rgb="00EAD5FF"/>
      <color rgb="00FF00FF"/>
      <color rgb="009900FF"/>
      <color rgb="005E0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2" name="Рисунок 3" descr="C:\Users\iakimenko\Desktop\B2-F2013191.png"/>
        <xdr:cNvPicPr>
          <a:picLocks noChangeAspect="1" noChangeArrowheads="1"/>
        </xdr:cNvPicPr>
      </xdr:nvPicPr>
      <xdr:blipFill>
        <a:blip r:embed="rId1" cstate="print">
          <a:biLevel thresh="50000"/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848225" y="9709785"/>
          <a:ext cx="600075" cy="598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4953000" y="9452610"/>
              <a:ext cx="542925" cy="371475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9675" y="9115425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257175</xdr:colOff>
      <xdr:row>34</xdr:row>
      <xdr:rowOff>171450</xdr:rowOff>
    </xdr:from>
    <xdr:to>
      <xdr:col>4</xdr:col>
      <xdr:colOff>857250</xdr:colOff>
      <xdr:row>38</xdr:row>
      <xdr:rowOff>8089</xdr:rowOff>
    </xdr:to>
    <xdr:pic>
      <xdr:nvPicPr>
        <xdr:cNvPr id="3" name="Рисунок 3" descr="C:\Users\iakimenko\Desktop\B2-F2013191.png"/>
        <xdr:cNvPicPr>
          <a:picLocks noChangeAspect="1" noChangeArrowheads="1"/>
        </xdr:cNvPicPr>
      </xdr:nvPicPr>
      <xdr:blipFill>
        <a:blip r:embed="rId1" cstate="print">
          <a:biLevel thresh="50000"/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800600" y="9709785"/>
          <a:ext cx="600075" cy="598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33</xdr:row>
          <xdr:rowOff>104775</xdr:rowOff>
        </xdr:from>
        <xdr:to>
          <xdr:col>4</xdr:col>
          <xdr:colOff>904875</xdr:colOff>
          <xdr:row>35</xdr:row>
          <xdr:rowOff>95250</xdr:rowOff>
        </xdr:to>
        <xdr:sp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4905375" y="9452610"/>
              <a:ext cx="542925" cy="371475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428625</xdr:colOff>
      <xdr:row>31</xdr:row>
      <xdr:rowOff>148736</xdr:rowOff>
    </xdr:from>
    <xdr:to>
      <xdr:col>4</xdr:col>
      <xdr:colOff>914400</xdr:colOff>
      <xdr:row>33</xdr:row>
      <xdr:rowOff>43961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72050" y="9115425"/>
          <a:ext cx="4857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emf"/><Relationship Id="rId3" Type="http://schemas.openxmlformats.org/officeDocument/2006/relationships/oleObject" Target="../embeddings/Microsoft_Visio_2003-2010___1.vsd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emf"/><Relationship Id="rId3" Type="http://schemas.openxmlformats.org/officeDocument/2006/relationships/oleObject" Target="../embeddings/Microsoft_Visio_2003-2010___2.vsd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view="pageBreakPreview" zoomScaleNormal="100" topLeftCell="A16" workbookViewId="0">
      <selection activeCell="E33" sqref="E33"/>
    </sheetView>
  </sheetViews>
  <sheetFormatPr defaultColWidth="9" defaultRowHeight="14.25"/>
  <cols>
    <col min="1" max="1" width="30.4285714285714" style="201" customWidth="1"/>
    <col min="2" max="2" width="19.2857142857143" style="201" customWidth="1"/>
    <col min="3" max="3" width="32.5714285714286" style="201" customWidth="1"/>
    <col min="4" max="4" width="9.28571428571429" style="201" customWidth="1"/>
    <col min="5" max="5" width="10.8571428571429" style="201" customWidth="1"/>
    <col min="6" max="6" width="11.1428571428571" style="201" customWidth="1"/>
    <col min="7" max="7" width="6.42857142857143" style="201" customWidth="1"/>
    <col min="8" max="8" width="6.71428571428571" style="201" customWidth="1"/>
    <col min="9" max="9" width="14.1428571428571" style="201" customWidth="1"/>
    <col min="10" max="10" width="9.14285714285714" style="201"/>
    <col min="11" max="11" width="9.42857142857143" style="201" customWidth="1"/>
    <col min="12" max="16384" width="9.14285714285714" style="201"/>
  </cols>
  <sheetData>
    <row r="1" s="198" customFormat="1" ht="20.1" customHeight="1" spans="1:8">
      <c r="A1" s="202" t="s">
        <v>0</v>
      </c>
      <c r="B1" s="203" t="s">
        <v>1</v>
      </c>
      <c r="C1" s="204"/>
      <c r="D1" s="204"/>
      <c r="E1" s="205"/>
      <c r="F1" s="206"/>
      <c r="G1" s="206"/>
      <c r="H1" s="206"/>
    </row>
    <row r="2" s="198" customFormat="1" ht="28.5" customHeight="1" spans="1:8">
      <c r="A2" s="207" t="s">
        <v>2</v>
      </c>
      <c r="B2" s="208" t="s">
        <v>3</v>
      </c>
      <c r="C2" s="209"/>
      <c r="D2" s="204"/>
      <c r="E2" s="205"/>
      <c r="F2" s="208"/>
      <c r="G2" s="204"/>
      <c r="H2" s="205"/>
    </row>
    <row r="3" s="198" customFormat="1" ht="29.25" customHeight="1" spans="1:8">
      <c r="A3" s="210"/>
      <c r="B3" s="208" t="s">
        <v>4</v>
      </c>
      <c r="C3" s="209"/>
      <c r="D3" s="209"/>
      <c r="E3" s="211"/>
      <c r="F3" s="212"/>
      <c r="G3" s="213"/>
      <c r="H3" s="213"/>
    </row>
    <row r="4" s="198" customFormat="1" ht="17.25" customHeight="1" spans="1:8">
      <c r="A4" s="210"/>
      <c r="B4" s="208" t="s">
        <v>5</v>
      </c>
      <c r="C4" s="209"/>
      <c r="D4" s="209"/>
      <c r="E4" s="211"/>
      <c r="F4" s="212"/>
      <c r="G4" s="213"/>
      <c r="H4" s="213"/>
    </row>
    <row r="5" s="198" customFormat="1" ht="20.1" customHeight="1" spans="1:8">
      <c r="A5" s="202" t="s">
        <v>6</v>
      </c>
      <c r="B5" s="203" t="s">
        <v>7</v>
      </c>
      <c r="C5" s="204"/>
      <c r="D5" s="204"/>
      <c r="E5" s="205"/>
      <c r="F5" s="206"/>
      <c r="G5" s="206"/>
      <c r="H5" s="206"/>
    </row>
    <row r="6" s="198" customFormat="1" ht="20.1" customHeight="1" spans="1:8">
      <c r="A6" s="202" t="s">
        <v>8</v>
      </c>
      <c r="B6" s="203" t="s">
        <v>9</v>
      </c>
      <c r="C6" s="204"/>
      <c r="D6" s="204"/>
      <c r="E6" s="205"/>
      <c r="F6" s="206"/>
      <c r="G6" s="206"/>
      <c r="H6" s="206"/>
    </row>
    <row r="7" s="198" customFormat="1" ht="20.1" customHeight="1" spans="1:8">
      <c r="A7" s="202" t="s">
        <v>10</v>
      </c>
      <c r="B7" s="203" t="s">
        <v>11</v>
      </c>
      <c r="C7" s="204"/>
      <c r="D7" s="204"/>
      <c r="E7" s="205"/>
      <c r="F7" s="206"/>
      <c r="G7" s="206"/>
      <c r="H7" s="206"/>
    </row>
    <row r="8" s="198" customFormat="1" ht="20.1" customHeight="1" spans="1:8">
      <c r="A8" s="202" t="s">
        <v>12</v>
      </c>
      <c r="B8" s="203" t="s">
        <v>13</v>
      </c>
      <c r="C8" s="204"/>
      <c r="D8" s="204"/>
      <c r="E8" s="205"/>
      <c r="F8" s="206"/>
      <c r="G8" s="206"/>
      <c r="H8" s="206"/>
    </row>
    <row r="9" s="198" customFormat="1" ht="20.1" customHeight="1" spans="1:8">
      <c r="A9" s="202" t="s">
        <v>14</v>
      </c>
      <c r="B9" s="203" t="s">
        <v>11</v>
      </c>
      <c r="C9" s="204"/>
      <c r="D9" s="204"/>
      <c r="E9" s="205"/>
      <c r="F9" s="206"/>
      <c r="G9" s="206"/>
      <c r="H9" s="206"/>
    </row>
    <row r="10" s="198" customFormat="1" ht="38.25" customHeight="1" spans="1:8">
      <c r="A10" s="210" t="s">
        <v>15</v>
      </c>
      <c r="B10" s="208" t="s">
        <v>16</v>
      </c>
      <c r="C10" s="209"/>
      <c r="D10" s="209"/>
      <c r="E10" s="211"/>
      <c r="F10" s="206"/>
      <c r="G10" s="206"/>
      <c r="H10" s="206"/>
    </row>
    <row r="11" s="199" customFormat="1" spans="1:8">
      <c r="A11" s="214"/>
      <c r="B11" s="215" t="s">
        <v>17</v>
      </c>
      <c r="C11" s="216"/>
      <c r="D11" s="216"/>
      <c r="E11" s="217"/>
      <c r="F11" s="218"/>
      <c r="G11" s="218"/>
      <c r="H11" s="218"/>
    </row>
    <row r="12" s="199" customFormat="1" ht="25.5" spans="1:8">
      <c r="A12" s="219" t="s">
        <v>18</v>
      </c>
      <c r="B12" s="220">
        <v>47.51</v>
      </c>
      <c r="C12" s="221" t="s">
        <v>19</v>
      </c>
      <c r="D12" s="222" t="s">
        <v>20</v>
      </c>
      <c r="E12" s="223"/>
      <c r="F12" s="218"/>
      <c r="G12" s="218"/>
      <c r="H12" s="218"/>
    </row>
    <row r="13" s="199" customFormat="1" ht="25.5" spans="1:8">
      <c r="A13" s="219" t="s">
        <v>21</v>
      </c>
      <c r="B13" s="220">
        <v>9.66</v>
      </c>
      <c r="C13" s="224"/>
      <c r="D13" s="225"/>
      <c r="E13" s="223"/>
      <c r="F13" s="218"/>
      <c r="G13" s="218"/>
      <c r="H13" s="218"/>
    </row>
    <row r="14" s="199" customFormat="1" ht="38.25" spans="1:8">
      <c r="A14" s="219" t="s">
        <v>22</v>
      </c>
      <c r="B14" s="220">
        <v>15.6</v>
      </c>
      <c r="C14" s="226"/>
      <c r="D14" s="227"/>
      <c r="E14" s="223"/>
      <c r="F14" s="218"/>
      <c r="G14" s="218"/>
      <c r="H14" s="218"/>
    </row>
    <row r="15" s="199" customFormat="1" ht="36.75" customHeight="1" spans="1:8">
      <c r="A15" s="228" t="s">
        <v>23</v>
      </c>
      <c r="B15" s="229">
        <v>14.17</v>
      </c>
      <c r="C15" s="230" t="s">
        <v>24</v>
      </c>
      <c r="D15" s="231" t="s">
        <v>25</v>
      </c>
      <c r="E15" s="223"/>
      <c r="F15" s="218"/>
      <c r="G15" s="218"/>
      <c r="H15" s="218"/>
    </row>
    <row r="16" s="199" customFormat="1" ht="38.25" spans="1:8">
      <c r="A16" s="232" t="s">
        <v>26</v>
      </c>
      <c r="B16" s="233">
        <v>5.34</v>
      </c>
      <c r="C16" s="234"/>
      <c r="D16" s="231" t="s">
        <v>27</v>
      </c>
      <c r="E16" s="223"/>
      <c r="F16" s="218"/>
      <c r="G16" s="218"/>
      <c r="H16" s="218"/>
    </row>
    <row r="17" s="199" customFormat="1" customHeight="1" spans="1:8">
      <c r="A17" s="220" t="s">
        <v>28</v>
      </c>
      <c r="B17" s="220">
        <v>5.36</v>
      </c>
      <c r="C17" s="221" t="s">
        <v>29</v>
      </c>
      <c r="D17" s="222" t="s">
        <v>30</v>
      </c>
      <c r="E17" s="202">
        <v>1.266</v>
      </c>
      <c r="F17" s="218"/>
      <c r="G17" s="218"/>
      <c r="H17" s="218"/>
    </row>
    <row r="18" s="199" customFormat="1" spans="1:8">
      <c r="A18" s="220" t="s">
        <v>31</v>
      </c>
      <c r="B18" s="220">
        <v>5.32</v>
      </c>
      <c r="C18" s="227"/>
      <c r="D18" s="227"/>
      <c r="E18" s="202">
        <v>1.19</v>
      </c>
      <c r="F18" s="218"/>
      <c r="G18" s="218"/>
      <c r="H18" s="218"/>
    </row>
    <row r="19" s="199" customFormat="1" spans="1:8">
      <c r="A19" s="214" t="s">
        <v>32</v>
      </c>
      <c r="B19" s="235"/>
      <c r="C19" s="235"/>
      <c r="D19" s="236"/>
      <c r="E19" s="236"/>
      <c r="F19" s="218"/>
      <c r="G19" s="218"/>
      <c r="H19" s="218"/>
    </row>
    <row r="20" s="199" customFormat="1" spans="1:11">
      <c r="A20" s="210" t="s">
        <v>33</v>
      </c>
      <c r="B20" s="207">
        <v>6.92</v>
      </c>
      <c r="C20" s="235"/>
      <c r="D20" s="236"/>
      <c r="E20" s="236"/>
      <c r="F20" s="218" t="s">
        <v>34</v>
      </c>
      <c r="G20" s="218"/>
      <c r="H20" s="218"/>
      <c r="I20" s="281">
        <v>1338.07</v>
      </c>
      <c r="J20" s="199" t="s">
        <v>35</v>
      </c>
      <c r="K20" s="199">
        <f>I20/1000</f>
        <v>1.33807</v>
      </c>
    </row>
    <row r="21" spans="1:11">
      <c r="A21" s="237" t="s">
        <v>36</v>
      </c>
      <c r="B21" s="238"/>
      <c r="C21" s="238"/>
      <c r="D21" s="239" t="s">
        <v>37</v>
      </c>
      <c r="E21" s="239" t="s">
        <v>38</v>
      </c>
      <c r="F21" s="240"/>
      <c r="G21" s="240"/>
      <c r="H21" s="240"/>
      <c r="I21" s="201">
        <v>470.58</v>
      </c>
      <c r="J21" s="201" t="s">
        <v>35</v>
      </c>
      <c r="K21" s="282">
        <f>I21/1000</f>
        <v>0.471</v>
      </c>
    </row>
    <row r="22" ht="30" hidden="1" customHeight="1" spans="1:9">
      <c r="A22" s="241" t="s">
        <v>39</v>
      </c>
      <c r="B22" s="242" t="s">
        <v>40</v>
      </c>
      <c r="C22" s="243"/>
      <c r="D22" s="244"/>
      <c r="E22" s="245">
        <v>0</v>
      </c>
      <c r="F22" s="246"/>
      <c r="G22" s="247"/>
      <c r="H22" s="248"/>
      <c r="I22" s="283"/>
    </row>
    <row r="23" ht="30" customHeight="1" spans="1:9">
      <c r="A23" s="241" t="s">
        <v>41</v>
      </c>
      <c r="B23" s="242" t="s">
        <v>42</v>
      </c>
      <c r="C23" s="243"/>
      <c r="D23" s="244"/>
      <c r="E23" s="245">
        <f>197389/1000</f>
        <v>197.39</v>
      </c>
      <c r="F23" s="249">
        <f>470.58/1000</f>
        <v>0.471</v>
      </c>
      <c r="G23" s="247">
        <f>212/1000</f>
        <v>0.212</v>
      </c>
      <c r="H23" s="248"/>
      <c r="I23" s="283"/>
    </row>
    <row r="24" ht="30" hidden="1" customHeight="1" spans="1:9">
      <c r="A24" s="241" t="s">
        <v>43</v>
      </c>
      <c r="B24" s="242" t="s">
        <v>44</v>
      </c>
      <c r="C24" s="243"/>
      <c r="D24" s="244"/>
      <c r="E24" s="245">
        <f>101509/1000</f>
        <v>101.51</v>
      </c>
      <c r="F24" s="246"/>
      <c r="G24" s="247"/>
      <c r="H24" s="248"/>
      <c r="I24" s="283"/>
    </row>
    <row r="25" s="200" customFormat="1" ht="60" customHeight="1" spans="1:8">
      <c r="A25" s="250" t="s">
        <v>45</v>
      </c>
      <c r="B25" s="242" t="s">
        <v>46</v>
      </c>
      <c r="C25" s="243"/>
      <c r="D25" s="251">
        <v>2.4</v>
      </c>
      <c r="E25" s="245" t="s">
        <v>47</v>
      </c>
      <c r="F25" s="252">
        <v>0.8</v>
      </c>
      <c r="G25" s="253">
        <f>D25*F25</f>
        <v>1.92</v>
      </c>
      <c r="H25" s="254"/>
    </row>
    <row r="26" s="200" customFormat="1" ht="20.1" customHeight="1" spans="1:8">
      <c r="A26" s="241" t="s">
        <v>48</v>
      </c>
      <c r="B26" s="242" t="s">
        <v>49</v>
      </c>
      <c r="C26" s="243"/>
      <c r="D26" s="255"/>
      <c r="E26" s="255">
        <v>5523.59</v>
      </c>
      <c r="F26" s="256"/>
      <c r="G26" s="256"/>
      <c r="H26" s="256"/>
    </row>
    <row r="27" s="200" customFormat="1" ht="39" customHeight="1" spans="1:8">
      <c r="A27" s="241" t="s">
        <v>50</v>
      </c>
      <c r="B27" s="242" t="s">
        <v>51</v>
      </c>
      <c r="C27" s="257"/>
      <c r="D27" s="255"/>
      <c r="E27" s="255">
        <f>264.35/1000</f>
        <v>0.26</v>
      </c>
      <c r="F27" s="256"/>
      <c r="G27" s="256"/>
      <c r="H27" s="256"/>
    </row>
    <row r="28" s="200" customFormat="1" ht="32.25" customHeight="1" spans="1:8">
      <c r="A28" s="241" t="s">
        <v>52</v>
      </c>
      <c r="B28" s="242" t="s">
        <v>53</v>
      </c>
      <c r="C28" s="243"/>
      <c r="D28" s="255"/>
      <c r="E28" s="255">
        <f>574282.05/1000</f>
        <v>574.28</v>
      </c>
      <c r="F28" s="256"/>
      <c r="G28" s="256"/>
      <c r="H28" s="256"/>
    </row>
    <row r="29" ht="47.25" hidden="1" customHeight="1" spans="1:8">
      <c r="A29" s="258" t="s">
        <v>54</v>
      </c>
      <c r="B29" s="259" t="s">
        <v>55</v>
      </c>
      <c r="C29" s="260"/>
      <c r="D29" s="261"/>
      <c r="E29" s="255">
        <v>0</v>
      </c>
      <c r="F29" s="240"/>
      <c r="G29" s="240"/>
      <c r="H29" s="240"/>
    </row>
    <row r="30" s="200" customFormat="1" ht="23.25" customHeight="1" spans="1:8">
      <c r="A30" s="241" t="s">
        <v>50</v>
      </c>
      <c r="B30" s="262" t="s">
        <v>56</v>
      </c>
      <c r="C30" s="263"/>
      <c r="D30" s="255"/>
      <c r="E30" s="255">
        <f>10534.33/1000</f>
        <v>10.53</v>
      </c>
      <c r="F30" s="256"/>
      <c r="G30" s="256"/>
      <c r="H30" s="256"/>
    </row>
    <row r="31" s="200" customFormat="1" ht="30" customHeight="1" spans="1:8">
      <c r="A31" s="264" t="s">
        <v>57</v>
      </c>
      <c r="B31" s="265" t="s">
        <v>58</v>
      </c>
      <c r="C31" s="265"/>
      <c r="D31" s="266">
        <v>2.14</v>
      </c>
      <c r="E31" s="266" t="s">
        <v>47</v>
      </c>
      <c r="F31" s="256"/>
      <c r="G31" s="256"/>
      <c r="H31" s="256"/>
    </row>
    <row r="32" s="200" customFormat="1" ht="38.25" spans="1:8">
      <c r="A32" s="267" t="s">
        <v>59</v>
      </c>
      <c r="B32" s="268" t="s">
        <v>60</v>
      </c>
      <c r="C32" s="268"/>
      <c r="D32" s="269">
        <v>0.2</v>
      </c>
      <c r="E32" s="269" t="s">
        <v>47</v>
      </c>
      <c r="F32" s="256"/>
      <c r="G32" s="256"/>
      <c r="H32" s="256"/>
    </row>
    <row r="33" ht="48.75" customHeight="1" spans="1:8">
      <c r="A33" s="270" t="s">
        <v>61</v>
      </c>
      <c r="B33" s="271" t="s">
        <v>62</v>
      </c>
      <c r="C33" s="271"/>
      <c r="D33" s="272">
        <f>(62728.78+65976.52+41555.56+53214.52)/1000</f>
        <v>223.48</v>
      </c>
      <c r="E33" s="272">
        <f>(336226.26+353634.13+222737.81+285229.82)/1000</f>
        <v>1197.83</v>
      </c>
      <c r="F33" s="240"/>
      <c r="G33" s="240"/>
      <c r="H33" s="240">
        <f>E33/B17</f>
        <v>223.475746268657</v>
      </c>
    </row>
    <row r="34" ht="52.5" customHeight="1" spans="1:8">
      <c r="A34" s="270" t="s">
        <v>63</v>
      </c>
      <c r="B34" s="273" t="s">
        <v>64</v>
      </c>
      <c r="C34" s="274"/>
      <c r="D34" s="272">
        <f>147256.95/1000</f>
        <v>147.26</v>
      </c>
      <c r="E34" s="272">
        <f>783407/1000</f>
        <v>783.41</v>
      </c>
      <c r="F34" s="240"/>
      <c r="G34" s="240"/>
      <c r="H34" s="240">
        <f>E34/B18</f>
        <v>147.257518796992</v>
      </c>
    </row>
    <row r="35" ht="54" customHeight="1" spans="1:8">
      <c r="A35" s="270" t="s">
        <v>65</v>
      </c>
      <c r="B35" s="273" t="s">
        <v>66</v>
      </c>
      <c r="C35" s="274"/>
      <c r="D35" s="272">
        <f>220884.02/1000</f>
        <v>220.88</v>
      </c>
      <c r="E35" s="272">
        <f>1175103/1000</f>
        <v>1175.1</v>
      </c>
      <c r="F35" s="275">
        <f>E33+E34+E35</f>
        <v>3156.34</v>
      </c>
      <c r="G35" s="240"/>
      <c r="H35" s="240"/>
    </row>
    <row r="36" ht="25.5" spans="1:11">
      <c r="A36" s="270" t="s">
        <v>67</v>
      </c>
      <c r="B36" s="273" t="s">
        <v>68</v>
      </c>
      <c r="C36" s="274"/>
      <c r="D36" s="272"/>
      <c r="E36" s="272">
        <v>0</v>
      </c>
      <c r="F36" s="240"/>
      <c r="G36" s="240">
        <v>578.94</v>
      </c>
      <c r="H36" s="240"/>
      <c r="I36" s="284">
        <f>E33+E34+E35+E36</f>
        <v>3156.34</v>
      </c>
      <c r="K36" s="284">
        <f>D33+D34+D35+D36</f>
        <v>591.62</v>
      </c>
    </row>
    <row r="37" s="200" customFormat="1" ht="38.25" spans="1:6">
      <c r="A37" s="267" t="s">
        <v>69</v>
      </c>
      <c r="B37" s="268" t="s">
        <v>70</v>
      </c>
      <c r="C37" s="268"/>
      <c r="D37" s="276">
        <v>3</v>
      </c>
      <c r="E37" s="276">
        <v>0.03</v>
      </c>
      <c r="F37" s="206">
        <v>3</v>
      </c>
    </row>
    <row r="39" spans="1:5">
      <c r="A39" s="277" t="s">
        <v>71</v>
      </c>
      <c r="B39" s="277"/>
      <c r="C39" s="277"/>
      <c r="D39" s="278" t="s">
        <v>37</v>
      </c>
      <c r="E39" s="278" t="s">
        <v>72</v>
      </c>
    </row>
    <row r="40" ht="15" customHeight="1" spans="1:5">
      <c r="A40" s="277"/>
      <c r="B40" s="277"/>
      <c r="C40" s="277"/>
      <c r="D40" s="279">
        <v>11.94</v>
      </c>
      <c r="E40" s="280">
        <v>138.38</v>
      </c>
    </row>
  </sheetData>
  <mergeCells count="36">
    <mergeCell ref="B1:E1"/>
    <mergeCell ref="B2:E2"/>
    <mergeCell ref="F2:H2"/>
    <mergeCell ref="B3:E3"/>
    <mergeCell ref="B5:E5"/>
    <mergeCell ref="B6:E6"/>
    <mergeCell ref="B7:E7"/>
    <mergeCell ref="B8:E8"/>
    <mergeCell ref="B9:E9"/>
    <mergeCell ref="B10:E10"/>
    <mergeCell ref="C11:E11"/>
    <mergeCell ref="A21:B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A39:C39"/>
    <mergeCell ref="A40:C40"/>
    <mergeCell ref="A2:A3"/>
    <mergeCell ref="C12:C14"/>
    <mergeCell ref="C15:C16"/>
    <mergeCell ref="C17:C18"/>
    <mergeCell ref="D12:D14"/>
    <mergeCell ref="D17:D18"/>
  </mergeCells>
  <pageMargins left="0.7" right="0.7" top="0.75" bottom="0.75" header="0.3" footer="0.3"/>
  <pageSetup paperSize="9" scale="82" orientation="portrait"/>
  <headerFooter/>
  <colBreaks count="1" manualBreakCount="1">
    <brk id="5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8"/>
  <sheetViews>
    <sheetView showZeros="0" tabSelected="1" view="pageBreakPreview" zoomScaleNormal="100" topLeftCell="A11" workbookViewId="0">
      <selection activeCell="C42" sqref="C42"/>
    </sheetView>
  </sheetViews>
  <sheetFormatPr defaultColWidth="9" defaultRowHeight="15"/>
  <cols>
    <col min="1" max="1" width="6.85714285714286" style="55" customWidth="1"/>
    <col min="2" max="2" width="5.71428571428571" style="13" customWidth="1"/>
    <col min="3" max="3" width="19.7142857142857" style="13" customWidth="1"/>
    <col min="4" max="4" width="48.7142857142857" style="13" customWidth="1"/>
    <col min="5" max="5" width="16.2857142857143" style="13" customWidth="1"/>
    <col min="6" max="8" width="13.7142857142857" style="13" customWidth="1"/>
    <col min="9" max="9" width="15.7142857142857" style="13" customWidth="1"/>
    <col min="10" max="10" width="11.2857142857143" style="13" customWidth="1"/>
    <col min="11" max="16384" width="9.14285714285714" style="13"/>
  </cols>
  <sheetData>
    <row r="1" spans="2:9">
      <c r="B1" s="81"/>
      <c r="C1" s="82"/>
      <c r="D1" s="83"/>
      <c r="E1" s="81"/>
      <c r="F1" s="81"/>
      <c r="G1" s="81"/>
      <c r="H1" s="81"/>
      <c r="I1" s="147" t="s">
        <v>73</v>
      </c>
    </row>
    <row r="2" ht="19.5" customHeight="1" spans="2:9">
      <c r="B2" s="81"/>
      <c r="C2" s="82" t="s">
        <v>74</v>
      </c>
      <c r="D2" s="84" t="str">
        <f>ИД!B2</f>
        <v>ООО "Север"</v>
      </c>
      <c r="E2" s="84"/>
      <c r="F2" s="84"/>
      <c r="G2" s="84"/>
      <c r="H2" s="84"/>
      <c r="I2" s="81"/>
    </row>
    <row r="3" spans="2:9">
      <c r="B3" s="81"/>
      <c r="C3" s="82"/>
      <c r="D3" s="85" t="s">
        <v>75</v>
      </c>
      <c r="E3" s="85"/>
      <c r="F3" s="85"/>
      <c r="G3" s="85"/>
      <c r="H3" s="85"/>
      <c r="I3" s="81"/>
    </row>
    <row r="4" spans="2:9">
      <c r="B4" s="81"/>
      <c r="C4" s="82" t="s">
        <v>76</v>
      </c>
      <c r="D4" s="86"/>
      <c r="E4" s="81"/>
      <c r="F4" s="87"/>
      <c r="G4" s="81"/>
      <c r="H4" s="81"/>
      <c r="I4" s="81"/>
    </row>
    <row r="5" spans="2:9">
      <c r="B5" s="81"/>
      <c r="C5" s="82"/>
      <c r="D5" s="83"/>
      <c r="E5" s="81"/>
      <c r="F5" s="87"/>
      <c r="G5" s="81"/>
      <c r="H5" s="81"/>
      <c r="I5" s="81"/>
    </row>
    <row r="6" spans="2:9">
      <c r="B6" s="81"/>
      <c r="C6" s="88" t="str">
        <f>" Сводный сметный расчет сметной стоимостью     "&amp;I57&amp;"     тыс.руб."</f>
        <v> Сводный сметный расчет сметной стоимостью     61319,9     тыс.руб.</v>
      </c>
      <c r="D6" s="83"/>
      <c r="E6" s="81"/>
      <c r="F6" s="87"/>
      <c r="G6" s="81"/>
      <c r="H6" s="81"/>
      <c r="I6" s="81"/>
    </row>
    <row r="7" spans="2:9">
      <c r="B7" s="81"/>
      <c r="C7" s="89"/>
      <c r="D7" s="84"/>
      <c r="E7" s="84"/>
      <c r="F7" s="84"/>
      <c r="G7" s="84"/>
      <c r="H7" s="84"/>
      <c r="I7" s="81"/>
    </row>
    <row r="8" spans="2:9">
      <c r="B8" s="81"/>
      <c r="C8" s="82"/>
      <c r="D8" s="85" t="s">
        <v>77</v>
      </c>
      <c r="E8" s="85"/>
      <c r="F8" s="85"/>
      <c r="G8" s="85"/>
      <c r="H8" s="85"/>
      <c r="I8" s="81"/>
    </row>
    <row r="9" spans="2:9">
      <c r="B9" s="81"/>
      <c r="C9" s="82"/>
      <c r="D9" s="83"/>
      <c r="E9" s="90"/>
      <c r="F9" s="90"/>
      <c r="G9" s="90"/>
      <c r="H9" s="81"/>
      <c r="I9" s="81"/>
    </row>
    <row r="10" ht="20.25" customHeight="1" spans="2:9">
      <c r="B10" s="81"/>
      <c r="C10" s="82"/>
      <c r="D10" s="91" t="s">
        <v>78</v>
      </c>
      <c r="E10" s="91"/>
      <c r="F10" s="91"/>
      <c r="G10" s="91"/>
      <c r="H10" s="91"/>
      <c r="I10" s="81"/>
    </row>
    <row r="11" spans="2:9">
      <c r="B11" s="81"/>
      <c r="C11" s="82"/>
      <c r="D11" s="91"/>
      <c r="E11" s="91"/>
      <c r="F11" s="91"/>
      <c r="G11" s="91"/>
      <c r="H11" s="91"/>
      <c r="I11" s="81"/>
    </row>
    <row r="12" ht="30" customHeight="1" spans="2:9">
      <c r="B12" s="81"/>
      <c r="C12" s="82"/>
      <c r="D12" s="92" t="str">
        <f>CONCATENATE(ИД!B10,ИД!C11)</f>
        <v>«Реконструкция распределительных и квартальных тепловых сетей г. Благовещенска Амурской области» Объект 2: Тепловые сети в 400 квартале от ТК-7С до ТК-64 м, L = 449,69 м, D = 325 мм.</v>
      </c>
      <c r="E12" s="92"/>
      <c r="F12" s="92"/>
      <c r="G12" s="92"/>
      <c r="H12" s="92"/>
      <c r="I12" s="81"/>
    </row>
    <row r="13" spans="2:9">
      <c r="B13" s="81"/>
      <c r="C13" s="82"/>
      <c r="D13" s="165" t="s">
        <v>79</v>
      </c>
      <c r="E13" s="165"/>
      <c r="F13" s="165"/>
      <c r="G13" s="165"/>
      <c r="H13" s="165"/>
      <c r="I13" s="81"/>
    </row>
    <row r="14" spans="2:9">
      <c r="B14" s="93" t="str">
        <f>CONCATENATE("Составлен в текущем уровне цен на ",ИД!B11)</f>
        <v>Составлен в текущем уровне цен на 1 квартал 2023 г.</v>
      </c>
      <c r="C14" s="93"/>
      <c r="D14" s="93"/>
      <c r="E14" s="93"/>
      <c r="F14" s="93"/>
      <c r="G14" s="93"/>
      <c r="H14" s="93"/>
      <c r="I14" s="93"/>
    </row>
    <row r="15" customHeight="1" spans="2:9">
      <c r="B15" s="94" t="s">
        <v>80</v>
      </c>
      <c r="C15" s="95" t="s">
        <v>81</v>
      </c>
      <c r="D15" s="94" t="s">
        <v>82</v>
      </c>
      <c r="E15" s="166" t="s">
        <v>83</v>
      </c>
      <c r="F15" s="167"/>
      <c r="G15" s="167"/>
      <c r="H15" s="167"/>
      <c r="I15" s="167"/>
    </row>
    <row r="16" ht="81.75" customHeight="1" spans="2:9">
      <c r="B16" s="94"/>
      <c r="C16" s="95"/>
      <c r="D16" s="94"/>
      <c r="E16" s="94" t="s">
        <v>84</v>
      </c>
      <c r="F16" s="94" t="s">
        <v>85</v>
      </c>
      <c r="G16" s="94" t="s">
        <v>86</v>
      </c>
      <c r="H16" s="94" t="s">
        <v>87</v>
      </c>
      <c r="I16" s="94" t="s">
        <v>88</v>
      </c>
    </row>
    <row r="17" spans="2:9">
      <c r="B17" s="96">
        <v>1</v>
      </c>
      <c r="C17" s="97">
        <v>2</v>
      </c>
      <c r="D17" s="96">
        <v>3</v>
      </c>
      <c r="E17" s="96">
        <v>4</v>
      </c>
      <c r="F17" s="96">
        <v>5</v>
      </c>
      <c r="G17" s="96">
        <v>6</v>
      </c>
      <c r="H17" s="96">
        <v>7</v>
      </c>
      <c r="I17" s="96">
        <v>8</v>
      </c>
    </row>
    <row r="18" s="11" customFormat="1" ht="20.1" customHeight="1" spans="1:9">
      <c r="A18" s="55"/>
      <c r="B18" s="98" t="s">
        <v>89</v>
      </c>
      <c r="C18" s="99"/>
      <c r="D18" s="99"/>
      <c r="E18" s="99"/>
      <c r="F18" s="99"/>
      <c r="G18" s="99"/>
      <c r="H18" s="99"/>
      <c r="I18" s="99"/>
    </row>
    <row r="19" s="11" customFormat="1" ht="27.75" customHeight="1" spans="1:9">
      <c r="A19" s="55"/>
      <c r="B19" s="94">
        <v>1</v>
      </c>
      <c r="C19" s="102" t="str">
        <f>ССРбаз!C19</f>
        <v>09-01-23-1-ООС</v>
      </c>
      <c r="D19" s="103" t="str">
        <f>ИД!B23</f>
        <v>Компенсационные выплаты за снос зеленых насаждений</v>
      </c>
      <c r="E19" s="112"/>
      <c r="F19" s="112"/>
      <c r="G19" s="112"/>
      <c r="H19" s="112">
        <f>ИД!E23</f>
        <v>197.39</v>
      </c>
      <c r="I19" s="112">
        <f>SUM(E19:H19)</f>
        <v>197.39</v>
      </c>
    </row>
    <row r="20" s="11" customFormat="1" ht="22.5" customHeight="1" spans="1:12">
      <c r="A20" s="55"/>
      <c r="B20" s="94">
        <f>B19+1</f>
        <v>2</v>
      </c>
      <c r="C20" s="102" t="str">
        <f>ССРбаз!C20</f>
        <v>ОС-01-01</v>
      </c>
      <c r="D20" s="103" t="str">
        <f>ССРбаз!D20</f>
        <v>Подготовительные работы</v>
      </c>
      <c r="E20" s="117">
        <f>'ОС-01-01тек'!E21</f>
        <v>631.79</v>
      </c>
      <c r="F20" s="117">
        <f>'ОС-01-01тек'!F21</f>
        <v>0</v>
      </c>
      <c r="G20" s="117">
        <f>'ОС-01-01тек'!G21</f>
        <v>0</v>
      </c>
      <c r="H20" s="117">
        <f>'ОС-01-01тек'!H21</f>
        <v>0</v>
      </c>
      <c r="I20" s="112">
        <f t="shared" ref="I20" si="0">SUM(E20:H20)</f>
        <v>631.79</v>
      </c>
      <c r="L20" s="148"/>
    </row>
    <row r="21" s="11" customFormat="1" ht="20.1" customHeight="1" spans="1:10">
      <c r="A21" s="55"/>
      <c r="B21" s="107"/>
      <c r="C21" s="104"/>
      <c r="D21" s="105" t="s">
        <v>90</v>
      </c>
      <c r="E21" s="106">
        <f>SUM(E19:E20)</f>
        <v>631.79</v>
      </c>
      <c r="F21" s="106">
        <f>SUM(F19:F20)</f>
        <v>0</v>
      </c>
      <c r="G21" s="106">
        <f>SUM(G19:G20)</f>
        <v>0</v>
      </c>
      <c r="H21" s="106">
        <f>SUM(H19:H20)</f>
        <v>197.39</v>
      </c>
      <c r="I21" s="106">
        <f>SUM(I19:I20)</f>
        <v>829.18</v>
      </c>
      <c r="J21" s="149" t="b">
        <f>SUM(E21:H21)=SUM(I19:I20)</f>
        <v>1</v>
      </c>
    </row>
    <row r="22" s="11" customFormat="1" ht="20.1" customHeight="1" spans="1:9">
      <c r="A22" s="55"/>
      <c r="B22" s="98" t="s">
        <v>91</v>
      </c>
      <c r="C22" s="99"/>
      <c r="D22" s="99"/>
      <c r="E22" s="99"/>
      <c r="F22" s="99"/>
      <c r="G22" s="99"/>
      <c r="H22" s="99"/>
      <c r="I22" s="99"/>
    </row>
    <row r="23" s="11" customFormat="1" ht="30" customHeight="1" spans="1:12">
      <c r="A23" s="55"/>
      <c r="B23" s="94">
        <f>B20+1</f>
        <v>3</v>
      </c>
      <c r="C23" s="102" t="str">
        <f>ССРбаз!C23</f>
        <v>ЛС-02-01-01</v>
      </c>
      <c r="D23" s="103" t="str">
        <f>ССРбаз!D23</f>
        <v>Тепловые сети </v>
      </c>
      <c r="E23" s="117">
        <v>33072.18</v>
      </c>
      <c r="F23" s="117">
        <v>1113.5</v>
      </c>
      <c r="G23" s="117"/>
      <c r="H23" s="117"/>
      <c r="I23" s="102">
        <f>SUM(E23:H23)</f>
        <v>34185.68</v>
      </c>
      <c r="L23" s="148"/>
    </row>
    <row r="24" s="11" customFormat="1" ht="20.1" customHeight="1" spans="1:10">
      <c r="A24" s="55"/>
      <c r="B24" s="107"/>
      <c r="C24" s="104"/>
      <c r="D24" s="105" t="s">
        <v>92</v>
      </c>
      <c r="E24" s="106">
        <f>SUM(E23:E23)</f>
        <v>33072.18</v>
      </c>
      <c r="F24" s="106">
        <f>SUM(F23:F23)</f>
        <v>1113.5</v>
      </c>
      <c r="G24" s="106">
        <f>SUM(G23:G23)</f>
        <v>0</v>
      </c>
      <c r="H24" s="106">
        <f>SUM(H23:H23)</f>
        <v>0</v>
      </c>
      <c r="I24" s="106">
        <f>SUM(I23:I23)</f>
        <v>34185.68</v>
      </c>
      <c r="J24" s="149" t="b">
        <f>SUM(E24:H24)=SUM(I23:I23)</f>
        <v>1</v>
      </c>
    </row>
    <row r="25" s="11" customFormat="1" ht="20.1" customHeight="1" spans="1:10">
      <c r="A25" s="55"/>
      <c r="B25" s="98" t="s">
        <v>93</v>
      </c>
      <c r="C25" s="99"/>
      <c r="D25" s="99"/>
      <c r="E25" s="99"/>
      <c r="F25" s="99"/>
      <c r="G25" s="99"/>
      <c r="H25" s="99"/>
      <c r="I25" s="99"/>
      <c r="J25" s="149"/>
    </row>
    <row r="26" s="26" customFormat="1" ht="27.75" customHeight="1" spans="1:12">
      <c r="A26" s="108"/>
      <c r="B26" s="109">
        <f>B23+1</f>
        <v>4</v>
      </c>
      <c r="C26" s="110" t="str">
        <f>ССРбаз!C26</f>
        <v>ЛС-07-01-01</v>
      </c>
      <c r="D26" s="123" t="str">
        <f>ССРбаз!D26</f>
        <v>Восстановление благоустройства</v>
      </c>
      <c r="E26" s="168">
        <v>3764.95</v>
      </c>
      <c r="F26" s="168"/>
      <c r="G26" s="168"/>
      <c r="H26" s="168"/>
      <c r="I26" s="110">
        <f>SUM(E26:H26)</f>
        <v>3764.95</v>
      </c>
      <c r="J26" s="149"/>
      <c r="L26" s="150"/>
    </row>
    <row r="27" s="11" customFormat="1" ht="20.1" customHeight="1" spans="1:10">
      <c r="A27" s="55"/>
      <c r="B27" s="107"/>
      <c r="C27" s="104"/>
      <c r="D27" s="105" t="s">
        <v>94</v>
      </c>
      <c r="E27" s="106">
        <f>SUM(E26:E26)</f>
        <v>3764.95</v>
      </c>
      <c r="F27" s="106">
        <f>SUM(F26:F26)</f>
        <v>0</v>
      </c>
      <c r="G27" s="106">
        <f>SUM(G26:G26)</f>
        <v>0</v>
      </c>
      <c r="H27" s="106">
        <f>SUM(H26:H26)</f>
        <v>0</v>
      </c>
      <c r="I27" s="106">
        <f>SUM(I26:I26)</f>
        <v>3764.95</v>
      </c>
      <c r="J27" s="149"/>
    </row>
    <row r="28" s="145" customFormat="1" ht="20.1" customHeight="1" spans="1:14">
      <c r="A28" s="108"/>
      <c r="B28" s="96"/>
      <c r="C28" s="113"/>
      <c r="D28" s="98" t="s">
        <v>95</v>
      </c>
      <c r="E28" s="106">
        <f>E21+E24+E27</f>
        <v>37468.92</v>
      </c>
      <c r="F28" s="106">
        <f>F21+F24+F27</f>
        <v>1113.5</v>
      </c>
      <c r="G28" s="106">
        <f>G21+G24+G27</f>
        <v>0</v>
      </c>
      <c r="H28" s="106">
        <f>H21+H24+H27</f>
        <v>197.39</v>
      </c>
      <c r="I28" s="106">
        <f>I21+I24+I27</f>
        <v>38779.81</v>
      </c>
      <c r="J28" s="149" t="b">
        <f>SUM(E28:H28)=I24+M27+I21+I27</f>
        <v>1</v>
      </c>
      <c r="K28" s="194">
        <f>E20+E23+F23+E26</f>
        <v>38582.42</v>
      </c>
      <c r="L28" s="194"/>
      <c r="M28" s="194"/>
      <c r="N28" s="194"/>
    </row>
    <row r="29" ht="20.1" customHeight="1" spans="2:9">
      <c r="B29" s="98" t="s">
        <v>96</v>
      </c>
      <c r="C29" s="99"/>
      <c r="D29" s="99"/>
      <c r="E29" s="99"/>
      <c r="F29" s="99"/>
      <c r="G29" s="99"/>
      <c r="H29" s="99"/>
      <c r="I29" s="99"/>
    </row>
    <row r="30" ht="68.25" customHeight="1" spans="1:12">
      <c r="A30" s="43">
        <f>ССРбаз!A30</f>
        <v>0.0192</v>
      </c>
      <c r="B30" s="109">
        <f>B26+1</f>
        <v>5</v>
      </c>
      <c r="C30" s="103" t="str">
        <f>ИД!A25</f>
        <v>Методика утв. Приказом Минстрой РФ от 19.06.20г. №332/пр, Приложение 1, п.53</v>
      </c>
      <c r="D30" s="103" t="str">
        <f>ССРбаз!D30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30" s="102">
        <f>E28*A30</f>
        <v>719.4</v>
      </c>
      <c r="F30" s="102">
        <f>F28*A30</f>
        <v>21.38</v>
      </c>
      <c r="G30" s="102"/>
      <c r="H30" s="102"/>
      <c r="I30" s="102">
        <f>SUM(E30:H30)</f>
        <v>740.78</v>
      </c>
      <c r="J30" s="195"/>
      <c r="L30" s="195"/>
    </row>
    <row r="31" ht="20.1" customHeight="1" spans="2:10">
      <c r="B31" s="107"/>
      <c r="C31" s="104"/>
      <c r="D31" s="105" t="s">
        <v>97</v>
      </c>
      <c r="E31" s="106">
        <f>SUM(E30:E30)</f>
        <v>719.4</v>
      </c>
      <c r="F31" s="106">
        <f>SUM(F30:F30)</f>
        <v>21.38</v>
      </c>
      <c r="G31" s="106">
        <f>SUM(G30:G30)</f>
        <v>0</v>
      </c>
      <c r="H31" s="106">
        <f>SUM(H30:H30)</f>
        <v>0</v>
      </c>
      <c r="I31" s="106">
        <f>SUM(I30:I30)</f>
        <v>740.78</v>
      </c>
      <c r="J31" s="149" t="b">
        <f>SUM(E31:H31)=SUM(I30:I30)</f>
        <v>1</v>
      </c>
    </row>
    <row r="32" ht="20.1" customHeight="1" spans="2:10">
      <c r="B32" s="96"/>
      <c r="C32" s="113"/>
      <c r="D32" s="98" t="s">
        <v>98</v>
      </c>
      <c r="E32" s="106">
        <f>E28+E31</f>
        <v>38188.32</v>
      </c>
      <c r="F32" s="106">
        <f>F28+F31</f>
        <v>1134.88</v>
      </c>
      <c r="G32" s="106">
        <f>G28+G31</f>
        <v>0</v>
      </c>
      <c r="H32" s="106">
        <f>H28+H31</f>
        <v>197.39</v>
      </c>
      <c r="I32" s="106">
        <f>I28+I31</f>
        <v>39520.59</v>
      </c>
      <c r="J32" s="149" t="b">
        <f>SUM(E32:H32)=I28+I31</f>
        <v>1</v>
      </c>
    </row>
    <row r="33" ht="20.1" customHeight="1" spans="2:9">
      <c r="B33" s="98" t="s">
        <v>99</v>
      </c>
      <c r="C33" s="99"/>
      <c r="D33" s="99"/>
      <c r="E33" s="99"/>
      <c r="F33" s="99"/>
      <c r="G33" s="99"/>
      <c r="H33" s="99"/>
      <c r="I33" s="99"/>
    </row>
    <row r="34" ht="27.75" customHeight="1" spans="2:9">
      <c r="B34" s="109">
        <f>B30+1</f>
        <v>6</v>
      </c>
      <c r="C34" s="103" t="str">
        <f>ИД!A26</f>
        <v>СР-1</v>
      </c>
      <c r="D34" s="103" t="str">
        <f>CONCATENATE(ИД!B26," ","(",ИД!E26,"/",1.2,")")</f>
        <v>Стоимость размещения отходов на полигоне ТБО (5523,59/1,2)</v>
      </c>
      <c r="E34" s="102"/>
      <c r="F34" s="102"/>
      <c r="G34" s="102"/>
      <c r="H34" s="102">
        <f>ИД!E26/1.2</f>
        <v>4602.99</v>
      </c>
      <c r="I34" s="102">
        <f t="shared" ref="I34:I38" si="1">SUM(E34:H34)</f>
        <v>4602.99</v>
      </c>
    </row>
    <row r="35" ht="27.75" customHeight="1" spans="2:9">
      <c r="B35" s="109">
        <f>B34+1</f>
        <v>7</v>
      </c>
      <c r="C35" s="103" t="str">
        <f>ИД!A27</f>
        <v>09-01-23-1-ООС  таб.3.1</v>
      </c>
      <c r="D35" s="103" t="str">
        <f>ИД!B27</f>
        <v>Расчёт платы за негативное воздействие на окружающую среду (выбросы загрязняющих веществ в атмосферу)</v>
      </c>
      <c r="E35" s="102"/>
      <c r="F35" s="102"/>
      <c r="G35" s="102"/>
      <c r="H35" s="102">
        <f>ИД!E27</f>
        <v>0.26</v>
      </c>
      <c r="I35" s="102">
        <f t="shared" si="1"/>
        <v>0.26</v>
      </c>
    </row>
    <row r="36" s="12" customFormat="1" ht="37.5" customHeight="1" spans="1:9">
      <c r="A36" s="108"/>
      <c r="B36" s="169">
        <f>B35+1</f>
        <v>8</v>
      </c>
      <c r="C36" s="118" t="str">
        <f>ИД!A28</f>
        <v>09-01-23-1-ООС таб.3.1</v>
      </c>
      <c r="D36" s="118" t="str">
        <f>ИД!B28</f>
        <v>Расчёт платы за негативное воздействие на окружающую среду (размещеие отходов)</v>
      </c>
      <c r="E36" s="170"/>
      <c r="F36" s="170"/>
      <c r="G36" s="170"/>
      <c r="H36" s="119">
        <f>ИД!E28</f>
        <v>574.28</v>
      </c>
      <c r="I36" s="119">
        <f t="shared" si="1"/>
        <v>574.28</v>
      </c>
    </row>
    <row r="37" s="12" customFormat="1" ht="60.75" hidden="1" customHeight="1" spans="1:9">
      <c r="A37" s="108"/>
      <c r="B37" s="171">
        <f>B36+1</f>
        <v>9</v>
      </c>
      <c r="C37" s="121" t="str">
        <f>ИД!A29</f>
        <v>Приложение №1 к договору №1428/21-ТП от 05.04.2021,счет №АS-з 1428/21 от 05.04.2021</v>
      </c>
      <c r="D37" s="121" t="str">
        <f>CONCATENATE(ИД!B29," (",ИД!E29,"/1,2/1000)")</f>
        <v>Плата за технологическое присоединение к сетям АО "ДРСК" (0/1,2/1000)</v>
      </c>
      <c r="E37" s="172"/>
      <c r="F37" s="172"/>
      <c r="G37" s="172"/>
      <c r="H37" s="122"/>
      <c r="I37" s="122">
        <f t="shared" si="1"/>
        <v>0</v>
      </c>
    </row>
    <row r="38" s="12" customFormat="1" ht="26.25" customHeight="1" spans="1:9">
      <c r="A38" s="108"/>
      <c r="B38" s="109">
        <f>B36+1</f>
        <v>9</v>
      </c>
      <c r="C38" s="123" t="str">
        <f>ИД!A30</f>
        <v>09-01-23-1-ООС  таб.3.1</v>
      </c>
      <c r="D38" s="123" t="str">
        <f>ИД!B30</f>
        <v>Расчет затрат на экологический мониторинг</v>
      </c>
      <c r="E38" s="173"/>
      <c r="F38" s="173"/>
      <c r="G38" s="173"/>
      <c r="H38" s="110">
        <f>ИД!E30</f>
        <v>10.53</v>
      </c>
      <c r="I38" s="110">
        <f t="shared" si="1"/>
        <v>10.53</v>
      </c>
    </row>
    <row r="39" ht="18" customHeight="1" spans="2:10">
      <c r="B39" s="107"/>
      <c r="C39" s="104"/>
      <c r="D39" s="105" t="s">
        <v>100</v>
      </c>
      <c r="E39" s="106">
        <f>SUM(E34:E38)</f>
        <v>0</v>
      </c>
      <c r="F39" s="106">
        <f t="shared" ref="F39:I39" si="2">SUM(F34:F38)</f>
        <v>0</v>
      </c>
      <c r="G39" s="106">
        <f t="shared" si="2"/>
        <v>0</v>
      </c>
      <c r="H39" s="106">
        <f t="shared" si="2"/>
        <v>5188.06</v>
      </c>
      <c r="I39" s="106">
        <f t="shared" si="2"/>
        <v>5188.06</v>
      </c>
      <c r="J39" s="149" t="b">
        <f>SUM(E39:H39)=SUM(I34:I38)</f>
        <v>1</v>
      </c>
    </row>
    <row r="40" ht="18" customHeight="1" spans="2:10">
      <c r="B40" s="96"/>
      <c r="C40" s="113"/>
      <c r="D40" s="98" t="s">
        <v>101</v>
      </c>
      <c r="E40" s="106">
        <f>E32+E39</f>
        <v>38188.32</v>
      </c>
      <c r="F40" s="106">
        <f>F32+F39</f>
        <v>1134.88</v>
      </c>
      <c r="G40" s="106">
        <f>G32+G39</f>
        <v>0</v>
      </c>
      <c r="H40" s="106">
        <f>H32+H39</f>
        <v>5385.45</v>
      </c>
      <c r="I40" s="106">
        <f>I32+I39</f>
        <v>44708.65</v>
      </c>
      <c r="J40" s="149" t="b">
        <f>SUM(E40:H40)=I32+I39</f>
        <v>1</v>
      </c>
    </row>
    <row r="41" s="11" customFormat="1" ht="18" customHeight="1" spans="2:9">
      <c r="B41" s="98" t="s">
        <v>102</v>
      </c>
      <c r="C41" s="99"/>
      <c r="D41" s="99"/>
      <c r="E41" s="99"/>
      <c r="F41" s="99"/>
      <c r="G41" s="99"/>
      <c r="H41" s="99"/>
      <c r="I41" s="99"/>
    </row>
    <row r="42" s="11" customFormat="1" ht="38.25" spans="1:9">
      <c r="A42" s="124">
        <f>ИД!D31%</f>
        <v>0.0214</v>
      </c>
      <c r="B42" s="109">
        <f>B38+1</f>
        <v>10</v>
      </c>
      <c r="C42" s="174" t="str">
        <f>ССРбаз!C42</f>
        <v>Постановление Правительства РФ от 21.06.2010г. №468</v>
      </c>
      <c r="D42" s="111" t="str">
        <f>CONCATENATE(ИД!B31," ","-"," ",ИД!D31,ИД!E31," ","от"," ",I40)</f>
        <v>Строительный контроль - 2,14% от 44708,65</v>
      </c>
      <c r="E42" s="135"/>
      <c r="F42" s="135"/>
      <c r="G42" s="135"/>
      <c r="H42" s="117">
        <f>I40*$A$42</f>
        <v>956.77</v>
      </c>
      <c r="I42" s="117">
        <f>SUM(E42:H42)</f>
        <v>956.77</v>
      </c>
    </row>
    <row r="43" s="11" customFormat="1" ht="18" customHeight="1" spans="1:10">
      <c r="A43" s="55"/>
      <c r="B43" s="107"/>
      <c r="C43" s="104"/>
      <c r="D43" s="105" t="s">
        <v>103</v>
      </c>
      <c r="E43" s="106"/>
      <c r="F43" s="106"/>
      <c r="G43" s="106"/>
      <c r="H43" s="106">
        <f>SUM(H42:H42)</f>
        <v>956.77</v>
      </c>
      <c r="I43" s="106">
        <f>SUM(I42:I42)</f>
        <v>956.77</v>
      </c>
      <c r="J43" s="149"/>
    </row>
    <row r="44" s="164" customFormat="1" ht="56.1" customHeight="1" spans="1:10">
      <c r="A44" s="175">
        <v>0.002</v>
      </c>
      <c r="B44" s="98" t="s">
        <v>104</v>
      </c>
      <c r="C44" s="99"/>
      <c r="D44" s="99"/>
      <c r="E44" s="99"/>
      <c r="F44" s="99"/>
      <c r="G44" s="99"/>
      <c r="H44" s="99"/>
      <c r="I44" s="99"/>
      <c r="J44" s="196"/>
    </row>
    <row r="45" s="164" customFormat="1" ht="54.75" customHeight="1" spans="2:10">
      <c r="B45" s="176">
        <f>B42+1</f>
        <v>11</v>
      </c>
      <c r="C45" s="177" t="str">
        <f>ИД!A32</f>
        <v>Методика утв. Приказом Минстрой РФ от 04.08.2020г. №421/пр п.173</v>
      </c>
      <c r="D45" s="178" t="str">
        <f>CONCATENATE(ИД!$B$32," - ",ИД!$D$32,ИД!$E$32," от ",I40,"
")</f>
        <v>Авторский надзор  - 0,2% от 44708,65
</v>
      </c>
      <c r="E45" s="179"/>
      <c r="F45" s="179"/>
      <c r="G45" s="179"/>
      <c r="H45" s="117">
        <f>I40*A44</f>
        <v>89.42</v>
      </c>
      <c r="I45" s="197">
        <f>SUM(E45:H45)</f>
        <v>89.42</v>
      </c>
      <c r="J45" s="196"/>
    </row>
    <row r="46" s="164" customFormat="1" ht="42" customHeight="1" spans="1:10">
      <c r="A46" s="180"/>
      <c r="B46" s="181">
        <f>B45+1</f>
        <v>12</v>
      </c>
      <c r="C46" s="182" t="str">
        <f>ИД!A33</f>
        <v> Смета №1-4</v>
      </c>
      <c r="D46" s="182" t="str">
        <f>ИД!B33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</v>
      </c>
      <c r="E46" s="183"/>
      <c r="F46" s="183"/>
      <c r="G46" s="183"/>
      <c r="H46" s="184">
        <f>ИД!E33</f>
        <v>1197.83</v>
      </c>
      <c r="I46" s="184">
        <f t="shared" ref="I46:I49" si="3">SUM(E46:H46)</f>
        <v>1197.83</v>
      </c>
      <c r="J46" s="196"/>
    </row>
    <row r="47" s="164" customFormat="1" ht="30" customHeight="1" spans="1:10">
      <c r="A47" s="180"/>
      <c r="B47" s="181">
        <f>B46+1</f>
        <v>13</v>
      </c>
      <c r="C47" s="182" t="str">
        <f>ИД!A34</f>
        <v>Смета №5</v>
      </c>
      <c r="D47" s="182" t="str">
        <f>ИД!B34</f>
        <v>Разработка проектной документации</v>
      </c>
      <c r="E47" s="183"/>
      <c r="F47" s="183"/>
      <c r="G47" s="183"/>
      <c r="H47" s="184">
        <f>ИД!E34</f>
        <v>783.41</v>
      </c>
      <c r="I47" s="184">
        <f t="shared" si="3"/>
        <v>783.41</v>
      </c>
      <c r="J47" s="196"/>
    </row>
    <row r="48" s="164" customFormat="1" ht="33" customHeight="1" spans="1:10">
      <c r="A48" s="180"/>
      <c r="B48" s="181">
        <f>B47+1</f>
        <v>14</v>
      </c>
      <c r="C48" s="182" t="str">
        <f>ИД!A35</f>
        <v>Смета №6</v>
      </c>
      <c r="D48" s="182" t="str">
        <f>ИД!B35</f>
        <v>Разработка рабочей документации</v>
      </c>
      <c r="E48" s="183"/>
      <c r="F48" s="183"/>
      <c r="G48" s="183"/>
      <c r="H48" s="184">
        <f>ИД!E35</f>
        <v>1175.1</v>
      </c>
      <c r="I48" s="184">
        <f t="shared" si="3"/>
        <v>1175.1</v>
      </c>
      <c r="J48" s="196"/>
    </row>
    <row r="49" s="164" customFormat="1" ht="42" customHeight="1" spans="1:10">
      <c r="A49" s="180"/>
      <c r="B49" s="181">
        <f>B48+1</f>
        <v>15</v>
      </c>
      <c r="C49" s="182" t="str">
        <f>ИД!A36</f>
        <v>Постановление Правительства РФ №145от 05.03.2007г.</v>
      </c>
      <c r="D49" s="182" t="str">
        <f>CONCATENATE(ИД!B36," ","(",ИД!D33,"*",0.273,"+",ИД!D34,"*",0.273,")","*",ИД!B20)</f>
        <v>Проведение государственной экспертизы по объекту (223,48*0,273+147,26*0,273)*6,92</v>
      </c>
      <c r="E49" s="183"/>
      <c r="F49" s="183"/>
      <c r="G49" s="183"/>
      <c r="H49" s="184">
        <f>(ИД!D33*0.273+ИД!D34*0.273)*ИД!B20</f>
        <v>700.39</v>
      </c>
      <c r="I49" s="184">
        <f t="shared" si="3"/>
        <v>700.39</v>
      </c>
      <c r="J49" s="196"/>
    </row>
    <row r="50" s="164" customFormat="1" ht="18" customHeight="1" spans="1:10">
      <c r="A50" s="180"/>
      <c r="B50" s="96"/>
      <c r="C50" s="113"/>
      <c r="D50" s="105" t="s">
        <v>105</v>
      </c>
      <c r="E50" s="106">
        <f>SUM(E45:E49)</f>
        <v>0</v>
      </c>
      <c r="F50" s="106">
        <f>SUM(F45:F49)</f>
        <v>0</v>
      </c>
      <c r="G50" s="106">
        <f>SUM(G45:G49)</f>
        <v>0</v>
      </c>
      <c r="H50" s="106">
        <f>SUM(H45:H49)</f>
        <v>3946.15</v>
      </c>
      <c r="I50" s="106">
        <f>SUM(I45:I49)</f>
        <v>3946.15</v>
      </c>
      <c r="J50" s="196"/>
    </row>
    <row r="51" s="11" customFormat="1" ht="18" customHeight="1" spans="1:10">
      <c r="A51" s="55"/>
      <c r="B51" s="96"/>
      <c r="C51" s="113"/>
      <c r="D51" s="98" t="s">
        <v>106</v>
      </c>
      <c r="E51" s="106">
        <f>E40+E43+E50</f>
        <v>38188.32</v>
      </c>
      <c r="F51" s="106">
        <f>F40+F43+F50</f>
        <v>1134.88</v>
      </c>
      <c r="G51" s="106">
        <f>G40+G43+G50</f>
        <v>0</v>
      </c>
      <c r="H51" s="106">
        <f>H40+H43+H50</f>
        <v>10288.37</v>
      </c>
      <c r="I51" s="106">
        <f>I40+I43+I50</f>
        <v>49611.57</v>
      </c>
      <c r="J51" s="149" t="b">
        <f>SUM(E51:H51)=I40+I43+I50</f>
        <v>1</v>
      </c>
    </row>
    <row r="52" s="11" customFormat="1" ht="19.5" customHeight="1" spans="1:9">
      <c r="A52" s="55"/>
      <c r="B52" s="98" t="s">
        <v>107</v>
      </c>
      <c r="C52" s="99"/>
      <c r="D52" s="99"/>
      <c r="E52" s="99"/>
      <c r="F52" s="99"/>
      <c r="G52" s="99"/>
      <c r="H52" s="99"/>
      <c r="I52" s="99"/>
    </row>
    <row r="53" s="11" customFormat="1" ht="54.75" customHeight="1" spans="1:10">
      <c r="A53" s="134">
        <f>ССРбаз!A53</f>
        <v>0.03</v>
      </c>
      <c r="B53" s="185">
        <f>B49+1</f>
        <v>16</v>
      </c>
      <c r="C53" s="103" t="str">
        <f>ИД!A37</f>
        <v>Методика утв. Приказом Минстрой РФ от 04.08.2020г. №421/пр п.179</v>
      </c>
      <c r="D53" s="99" t="s">
        <v>108</v>
      </c>
      <c r="E53" s="102">
        <f>E51*$A$53</f>
        <v>1145.65</v>
      </c>
      <c r="F53" s="102">
        <f>F51*$A$53</f>
        <v>34.05</v>
      </c>
      <c r="G53" s="102">
        <f t="shared" ref="G53:H53" si="4">G51*$A$53</f>
        <v>0</v>
      </c>
      <c r="H53" s="102">
        <f t="shared" si="4"/>
        <v>308.65</v>
      </c>
      <c r="I53" s="102">
        <f>SUM(E53:H53)</f>
        <v>1488.35</v>
      </c>
      <c r="J53" s="149"/>
    </row>
    <row r="54" s="11" customFormat="1" ht="18" customHeight="1" spans="1:10">
      <c r="A54" s="55"/>
      <c r="B54" s="135"/>
      <c r="C54" s="135"/>
      <c r="D54" s="98" t="s">
        <v>109</v>
      </c>
      <c r="E54" s="106">
        <f>E51+E53</f>
        <v>39333.97</v>
      </c>
      <c r="F54" s="106">
        <f>F51+F53</f>
        <v>1168.93</v>
      </c>
      <c r="G54" s="106">
        <f>G51+G53</f>
        <v>0</v>
      </c>
      <c r="H54" s="106">
        <f>H51+H53</f>
        <v>10597.02</v>
      </c>
      <c r="I54" s="106">
        <f>I51+I53</f>
        <v>51099.92</v>
      </c>
      <c r="J54" s="149" t="b">
        <f>SUM(E54:H54)=I51+I53</f>
        <v>1</v>
      </c>
    </row>
    <row r="55" s="11" customFormat="1" ht="18" customHeight="1" spans="1:9">
      <c r="A55" s="55"/>
      <c r="B55" s="98" t="s">
        <v>110</v>
      </c>
      <c r="C55" s="99"/>
      <c r="D55" s="99"/>
      <c r="E55" s="99"/>
      <c r="F55" s="99"/>
      <c r="G55" s="99"/>
      <c r="H55" s="99"/>
      <c r="I55" s="99"/>
    </row>
    <row r="56" s="11" customFormat="1" ht="35.25" customHeight="1" spans="1:10">
      <c r="A56" s="134">
        <v>0.2</v>
      </c>
      <c r="B56" s="186">
        <f>B53+1</f>
        <v>17</v>
      </c>
      <c r="C56" s="187" t="s">
        <v>111</v>
      </c>
      <c r="D56" s="99" t="s">
        <v>112</v>
      </c>
      <c r="E56" s="102">
        <f>E54*$A$56</f>
        <v>7866.79</v>
      </c>
      <c r="F56" s="102">
        <f t="shared" ref="F56:G56" si="5">F54*$A$56</f>
        <v>233.79</v>
      </c>
      <c r="G56" s="102">
        <f t="shared" si="5"/>
        <v>0</v>
      </c>
      <c r="H56" s="102">
        <f>(H54)*$A$56</f>
        <v>2119.4</v>
      </c>
      <c r="I56" s="102">
        <f>SUM(E56:H56)</f>
        <v>10219.98</v>
      </c>
      <c r="J56" s="149"/>
    </row>
    <row r="57" s="11" customFormat="1" ht="36.75" customHeight="1" spans="1:10">
      <c r="A57" s="55"/>
      <c r="B57" s="188"/>
      <c r="C57" s="189"/>
      <c r="D57" s="98" t="str">
        <f>CONCATENATE("Всего по сводному сметному расчету в текущем уровне цен на ",ИД!B11)</f>
        <v>Всего по сводному сметному расчету в текущем уровне цен на 1 квартал 2023 г.</v>
      </c>
      <c r="E57" s="106">
        <f>E54+E56</f>
        <v>47200.76</v>
      </c>
      <c r="F57" s="106">
        <f t="shared" ref="F57:I57" si="6">F54+F56</f>
        <v>1402.72</v>
      </c>
      <c r="G57" s="106">
        <f t="shared" si="6"/>
        <v>0</v>
      </c>
      <c r="H57" s="106">
        <f t="shared" si="6"/>
        <v>12716.42</v>
      </c>
      <c r="I57" s="106">
        <f t="shared" si="6"/>
        <v>61319.9</v>
      </c>
      <c r="J57" s="149" t="b">
        <f>SUM(E57:H57)=I54+I56</f>
        <v>1</v>
      </c>
    </row>
    <row r="58" s="79" customFormat="1" ht="18" customHeight="1" spans="1:9">
      <c r="A58" s="190"/>
      <c r="B58" s="191"/>
      <c r="C58" s="192"/>
      <c r="D58" s="137" t="s">
        <v>113</v>
      </c>
      <c r="E58" s="128"/>
      <c r="F58" s="193"/>
      <c r="G58" s="193"/>
      <c r="H58" s="193"/>
      <c r="I58" s="128">
        <f>ИД!E40</f>
        <v>138.38</v>
      </c>
    </row>
    <row r="59" spans="1:10">
      <c r="A59" s="13"/>
      <c r="B59" s="138"/>
      <c r="C59" s="138"/>
      <c r="D59" s="139" t="s">
        <v>114</v>
      </c>
      <c r="E59" s="140"/>
      <c r="F59" s="140"/>
      <c r="G59" s="140"/>
      <c r="H59" s="140"/>
      <c r="I59" s="158">
        <f>H46+H47+H48</f>
        <v>3156.34</v>
      </c>
      <c r="J59" s="80"/>
    </row>
    <row r="60" spans="1:10">
      <c r="A60" s="13"/>
      <c r="J60" s="80"/>
    </row>
    <row r="61" spans="1:10">
      <c r="A61" s="13"/>
      <c r="C61" s="144" t="str">
        <f>CONCATENATE(ИД!$A$6,ИД!$B$5)</f>
        <v>Генеральный директор  ООО "ИВЦ "Энергоактив""</v>
      </c>
      <c r="D61" s="145"/>
      <c r="E61" s="146"/>
      <c r="F61" s="146"/>
      <c r="G61" s="146"/>
      <c r="H61" s="83" t="str">
        <f>ИД!$B$6</f>
        <v>С.В. Лопашук</v>
      </c>
      <c r="I61" s="145"/>
      <c r="J61" s="80"/>
    </row>
    <row r="62" spans="1:10">
      <c r="A62" s="13"/>
      <c r="C62" s="82"/>
      <c r="D62" s="83"/>
      <c r="E62" s="90"/>
      <c r="F62" s="90"/>
      <c r="G62" s="90"/>
      <c r="H62" s="83"/>
      <c r="I62" s="90"/>
      <c r="J62" s="80"/>
    </row>
    <row r="63" spans="1:10">
      <c r="A63" s="13"/>
      <c r="C63" s="82"/>
      <c r="D63" s="83"/>
      <c r="E63" s="90"/>
      <c r="F63" s="90"/>
      <c r="G63" s="90"/>
      <c r="H63" s="83"/>
      <c r="I63" s="90"/>
      <c r="J63" s="80"/>
    </row>
    <row r="64" spans="1:10">
      <c r="A64" s="13"/>
      <c r="C64" s="144" t="str">
        <f>CONCATENATE(ИД!$A$7,ИД!$B$5)</f>
        <v>Главный инженер проекта ООО "ИВЦ "Энергоактив""</v>
      </c>
      <c r="D64" s="145"/>
      <c r="E64" s="146"/>
      <c r="F64" s="146"/>
      <c r="G64" s="146"/>
      <c r="H64" s="26" t="str">
        <f>ИД!B7</f>
        <v>Н.В.Петров</v>
      </c>
      <c r="I64" s="145"/>
      <c r="J64" s="80"/>
    </row>
    <row r="65" spans="1:10">
      <c r="A65" s="13"/>
      <c r="C65" s="82"/>
      <c r="D65" s="83"/>
      <c r="E65" s="90"/>
      <c r="F65" s="90"/>
      <c r="G65" s="90"/>
      <c r="H65" s="83"/>
      <c r="I65" s="90"/>
      <c r="J65" s="80"/>
    </row>
    <row r="66" spans="1:10">
      <c r="A66" s="13"/>
      <c r="C66" s="82"/>
      <c r="D66" s="83"/>
      <c r="E66" s="90"/>
      <c r="F66" s="90"/>
      <c r="G66" s="90"/>
      <c r="H66" s="83"/>
      <c r="I66" s="90"/>
      <c r="J66" s="80"/>
    </row>
    <row r="67" spans="1:10">
      <c r="A67" s="13"/>
      <c r="C67" s="82" t="s">
        <v>115</v>
      </c>
      <c r="D67" s="83"/>
      <c r="E67" s="160"/>
      <c r="F67" s="160"/>
      <c r="G67" s="160"/>
      <c r="H67" s="83"/>
      <c r="I67" s="90"/>
      <c r="J67" s="80"/>
    </row>
    <row r="68" ht="24.75" customHeight="1" spans="1:10">
      <c r="A68" s="13"/>
      <c r="C68" s="161"/>
      <c r="D68" s="161"/>
      <c r="E68" s="162"/>
      <c r="F68" s="162"/>
      <c r="G68" s="162"/>
      <c r="H68" s="163"/>
      <c r="I68" s="90"/>
      <c r="J68" s="80"/>
    </row>
  </sheetData>
  <mergeCells count="25">
    <mergeCell ref="D2:H2"/>
    <mergeCell ref="D3:H3"/>
    <mergeCell ref="D7:H7"/>
    <mergeCell ref="D8:H8"/>
    <mergeCell ref="D10:H10"/>
    <mergeCell ref="D12:H12"/>
    <mergeCell ref="D13:H13"/>
    <mergeCell ref="B14:I14"/>
    <mergeCell ref="E15:I15"/>
    <mergeCell ref="B18:I18"/>
    <mergeCell ref="B22:I22"/>
    <mergeCell ref="B25:I25"/>
    <mergeCell ref="B29:I29"/>
    <mergeCell ref="B33:I33"/>
    <mergeCell ref="B41:I41"/>
    <mergeCell ref="B44:I44"/>
    <mergeCell ref="B52:I52"/>
    <mergeCell ref="B55:I55"/>
    <mergeCell ref="E61:G61"/>
    <mergeCell ref="E64:G64"/>
    <mergeCell ref="C68:D68"/>
    <mergeCell ref="E68:G68"/>
    <mergeCell ref="B15:B16"/>
    <mergeCell ref="C15:C16"/>
    <mergeCell ref="D15:D16"/>
  </mergeCells>
  <printOptions horizontalCentered="1"/>
  <pageMargins left="0.196850393700787" right="0.196850393700787" top="0.196850393700787" bottom="0.196850393700787" header="0.31496062992126" footer="0.31496062992126"/>
  <pageSetup paperSize="9" scale="9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showZeros="0" view="pageBreakPreview" zoomScaleNormal="100" workbookViewId="0">
      <selection activeCell="D21" sqref="D21"/>
    </sheetView>
  </sheetViews>
  <sheetFormatPr defaultColWidth="9" defaultRowHeight="15"/>
  <cols>
    <col min="1" max="1" width="7.57142857142857" style="67" customWidth="1"/>
    <col min="2" max="2" width="5.71428571428571" style="13" customWidth="1"/>
    <col min="3" max="3" width="15.7142857142857" style="31" customWidth="1"/>
    <col min="4" max="4" width="39.7142857142857" style="13" customWidth="1"/>
    <col min="5" max="5" width="16.2857142857143" style="13" customWidth="1"/>
    <col min="6" max="6" width="11.7142857142857" style="13" customWidth="1"/>
    <col min="7" max="8" width="12.7142857142857" style="13" customWidth="1"/>
    <col min="9" max="9" width="14.7142857142857" style="13" customWidth="1"/>
    <col min="10" max="16384" width="9.14285714285714" style="13"/>
  </cols>
  <sheetData>
    <row r="1" ht="27.75" customHeight="1" spans="2:9">
      <c r="B1" s="14" t="str">
        <f>CONCATENATE(ИД!$B$10,ИД!$C$11)</f>
        <v>«Реконструкция распределительных и квартальных тепловых сетей г. Благовещенска Амурской области» Объект 2: Тепловые сети в 400 квартале от ТК-7С до ТК-64 м, L = 449,69 м, D = 325 мм.</v>
      </c>
      <c r="C1" s="14"/>
      <c r="D1" s="14"/>
      <c r="E1" s="14"/>
      <c r="F1" s="14"/>
      <c r="G1" s="14"/>
      <c r="H1" s="14"/>
      <c r="I1" s="14"/>
    </row>
    <row r="2" s="66" customFormat="1" spans="1:9">
      <c r="A2" s="68"/>
      <c r="B2" s="15" t="s">
        <v>79</v>
      </c>
      <c r="C2" s="15"/>
      <c r="D2" s="15"/>
      <c r="E2" s="15"/>
      <c r="F2" s="15"/>
      <c r="G2" s="15"/>
      <c r="H2" s="15"/>
      <c r="I2" s="15"/>
    </row>
    <row r="4" ht="15.75" spans="2:9">
      <c r="B4" s="16" t="s">
        <v>116</v>
      </c>
      <c r="C4" s="16"/>
      <c r="D4" s="16"/>
      <c r="E4" s="16"/>
      <c r="F4" s="16"/>
      <c r="G4" s="16"/>
      <c r="H4" s="16"/>
      <c r="I4" s="16"/>
    </row>
    <row r="5" ht="15.75" spans="2:9">
      <c r="B5" s="16" t="str">
        <f>'ОС-01-01'!B5:I5</f>
        <v>Подготовительные работы </v>
      </c>
      <c r="C5" s="16"/>
      <c r="D5" s="16"/>
      <c r="E5" s="16"/>
      <c r="F5" s="16"/>
      <c r="G5" s="16"/>
      <c r="H5" s="16"/>
      <c r="I5" s="16"/>
    </row>
    <row r="6" ht="15.75" spans="2:9">
      <c r="B6" s="16"/>
      <c r="C6" s="16"/>
      <c r="D6" s="16"/>
      <c r="E6" s="16"/>
      <c r="F6" s="16"/>
      <c r="G6" s="16"/>
      <c r="H6" s="16"/>
      <c r="I6" s="16"/>
    </row>
    <row r="7" s="7" customFormat="1" ht="13.5" spans="1:9">
      <c r="A7" s="69"/>
      <c r="B7" s="18"/>
      <c r="C7" s="18"/>
      <c r="D7" s="19" t="s">
        <v>117</v>
      </c>
      <c r="E7" s="19"/>
      <c r="F7" s="19"/>
      <c r="G7" s="19"/>
      <c r="H7" s="19"/>
      <c r="I7" s="18"/>
    </row>
    <row r="8" s="7" customFormat="1" ht="13.5" spans="1:9">
      <c r="A8" s="69"/>
      <c r="B8" s="20"/>
      <c r="C8" s="20"/>
      <c r="D8" s="21"/>
      <c r="E8" s="20"/>
      <c r="F8" s="20"/>
      <c r="G8" s="20"/>
      <c r="H8" s="20"/>
      <c r="I8" s="20"/>
    </row>
    <row r="9" s="7" customFormat="1" customHeight="1" spans="1:9">
      <c r="A9" s="69"/>
      <c r="B9" s="20"/>
      <c r="C9" s="18"/>
      <c r="D9" s="22" t="s">
        <v>118</v>
      </c>
      <c r="E9" s="22"/>
      <c r="F9" s="22"/>
      <c r="G9" s="22"/>
      <c r="H9" s="23">
        <f>I25</f>
        <v>19.32</v>
      </c>
      <c r="I9" s="64" t="s">
        <v>119</v>
      </c>
    </row>
    <row r="10" s="7" customFormat="1" ht="36" customHeight="1" spans="1:9">
      <c r="A10" s="69"/>
      <c r="B10" s="20"/>
      <c r="C10" s="18"/>
      <c r="D10" s="24" t="s">
        <v>120</v>
      </c>
      <c r="E10" s="24"/>
      <c r="F10" s="24"/>
      <c r="G10" s="24"/>
      <c r="H10" s="70">
        <f>ИД!F23</f>
        <v>0.471</v>
      </c>
      <c r="I10" s="19" t="s">
        <v>121</v>
      </c>
    </row>
    <row r="11" s="7" customFormat="1" ht="36" customHeight="1" spans="1:9">
      <c r="A11" s="69"/>
      <c r="B11" s="20"/>
      <c r="C11" s="18"/>
      <c r="D11" s="24" t="s">
        <v>122</v>
      </c>
      <c r="E11" s="24"/>
      <c r="F11" s="24"/>
      <c r="G11" s="24"/>
      <c r="H11" s="25">
        <f>H9/H10*1000</f>
        <v>41019.11</v>
      </c>
      <c r="I11" s="19" t="s">
        <v>123</v>
      </c>
    </row>
    <row r="12" s="8" customFormat="1" ht="13.5" spans="1:9">
      <c r="A12" s="71"/>
      <c r="B12" s="27"/>
      <c r="C12" s="27"/>
      <c r="D12" s="27"/>
      <c r="E12" s="27"/>
      <c r="F12" s="27"/>
      <c r="G12" s="28"/>
      <c r="H12" s="27"/>
      <c r="I12" s="27"/>
    </row>
    <row r="13" s="8" customFormat="1" ht="13.5" spans="1:9">
      <c r="A13" s="71"/>
      <c r="C13" s="28"/>
      <c r="D13" s="29" t="s">
        <v>124</v>
      </c>
      <c r="E13" s="29"/>
      <c r="F13" s="29"/>
      <c r="G13" s="29"/>
      <c r="H13" s="29"/>
      <c r="I13" s="29"/>
    </row>
    <row r="14" ht="15.75" spans="2:9">
      <c r="B14" s="16"/>
      <c r="C14" s="16"/>
      <c r="D14" s="30"/>
      <c r="E14" s="30"/>
      <c r="F14" s="30"/>
      <c r="G14" s="31"/>
      <c r="H14" s="32"/>
      <c r="I14" s="16"/>
    </row>
    <row r="15" customHeight="1" spans="2:9">
      <c r="B15" s="33" t="s">
        <v>125</v>
      </c>
      <c r="C15" s="33" t="s">
        <v>81</v>
      </c>
      <c r="D15" s="33" t="s">
        <v>126</v>
      </c>
      <c r="E15" s="33" t="s">
        <v>127</v>
      </c>
      <c r="F15" s="33"/>
      <c r="G15" s="33"/>
      <c r="H15" s="33"/>
      <c r="I15" s="33"/>
    </row>
    <row r="16" ht="88.5" customHeight="1" spans="2:9">
      <c r="B16" s="33"/>
      <c r="C16" s="33"/>
      <c r="D16" s="33"/>
      <c r="E16" s="34" t="s">
        <v>128</v>
      </c>
      <c r="F16" s="33" t="s">
        <v>85</v>
      </c>
      <c r="G16" s="33" t="s">
        <v>86</v>
      </c>
      <c r="H16" s="33" t="s">
        <v>129</v>
      </c>
      <c r="I16" s="33" t="s">
        <v>88</v>
      </c>
    </row>
    <row r="17" spans="2:9">
      <c r="B17" s="35" t="s">
        <v>130</v>
      </c>
      <c r="C17" s="35" t="s">
        <v>131</v>
      </c>
      <c r="D17" s="35" t="s">
        <v>132</v>
      </c>
      <c r="E17" s="35" t="s">
        <v>133</v>
      </c>
      <c r="F17" s="35" t="s">
        <v>134</v>
      </c>
      <c r="G17" s="35" t="s">
        <v>135</v>
      </c>
      <c r="H17" s="35" t="s">
        <v>136</v>
      </c>
      <c r="I17" s="35" t="s">
        <v>137</v>
      </c>
    </row>
    <row r="18" s="10" customFormat="1" ht="27" customHeight="1" spans="1:9">
      <c r="A18" s="72"/>
      <c r="B18" s="36">
        <v>1</v>
      </c>
      <c r="C18" s="36" t="str">
        <f>'ОС-01-01'!C18</f>
        <v>ЛС-01-01-01</v>
      </c>
      <c r="D18" s="37" t="str">
        <f>'ОС-01-01'!D18</f>
        <v>Очистка территории строительства.</v>
      </c>
      <c r="E18" s="47">
        <v>3.58</v>
      </c>
      <c r="F18" s="47"/>
      <c r="G18" s="47"/>
      <c r="H18" s="47"/>
      <c r="I18" s="77">
        <f>SUM(E18:H18)</f>
        <v>3.58</v>
      </c>
    </row>
    <row r="19" s="10" customFormat="1" ht="36" customHeight="1" spans="1:9">
      <c r="A19" s="72"/>
      <c r="B19" s="36">
        <f>B18+1</f>
        <v>2</v>
      </c>
      <c r="C19" s="36" t="str">
        <f>'ОС-01-01'!C19</f>
        <v>ЛС-01-01-02</v>
      </c>
      <c r="D19" s="37" t="str">
        <f>'ОС-01-01'!D19</f>
        <v>Разборка существующего покрытия и тротуара</v>
      </c>
      <c r="E19" s="47">
        <v>608.78</v>
      </c>
      <c r="F19" s="47"/>
      <c r="G19" s="47"/>
      <c r="H19" s="47"/>
      <c r="I19" s="77">
        <f>SUM(E19:H19)</f>
        <v>608.78</v>
      </c>
    </row>
    <row r="20" s="10" customFormat="1" ht="36" customHeight="1" spans="1:9">
      <c r="A20" s="72"/>
      <c r="B20" s="36">
        <f>B19+1</f>
        <v>3</v>
      </c>
      <c r="C20" s="36" t="str">
        <f>'ОС-01-01'!C20</f>
        <v>ЛС-01-01-03</v>
      </c>
      <c r="D20" s="37" t="str">
        <f>'ОС-01-01'!D20</f>
        <v>Устройство защиты кабелей сети связи</v>
      </c>
      <c r="E20" s="47">
        <v>19.43</v>
      </c>
      <c r="F20" s="47"/>
      <c r="G20" s="47"/>
      <c r="H20" s="47"/>
      <c r="I20" s="77">
        <f>SUM(E20:H20)</f>
        <v>19.43</v>
      </c>
    </row>
    <row r="21" s="10" customFormat="1" ht="20.1" customHeight="1" spans="1:9">
      <c r="A21" s="67"/>
      <c r="B21" s="44"/>
      <c r="C21" s="56"/>
      <c r="D21" s="50" t="s">
        <v>138</v>
      </c>
      <c r="E21" s="48">
        <f>SUM(E18:E20)</f>
        <v>631.79</v>
      </c>
      <c r="F21" s="48">
        <f t="shared" ref="F21:I21" si="0">SUM(F18:F20)</f>
        <v>0</v>
      </c>
      <c r="G21" s="48">
        <f t="shared" si="0"/>
        <v>0</v>
      </c>
      <c r="H21" s="48">
        <f t="shared" si="0"/>
        <v>0</v>
      </c>
      <c r="I21" s="48">
        <f t="shared" si="0"/>
        <v>631.79</v>
      </c>
    </row>
    <row r="22" s="10" customFormat="1" ht="92.25" customHeight="1" spans="1:9">
      <c r="A22" s="43">
        <f>ИД!$G$25%</f>
        <v>0.0192</v>
      </c>
      <c r="B22" s="44">
        <f>B20+1</f>
        <v>4</v>
      </c>
      <c r="C22" s="52" t="str">
        <f>ИД!$A$25</f>
        <v>Методика утв. Приказом Минстрой РФ от 19.06.20г. №332/пр, Приложение 1, п.53</v>
      </c>
      <c r="D22" s="46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2" s="47">
        <f>E21*A22</f>
        <v>12.13</v>
      </c>
      <c r="F22" s="47">
        <f>F21*$A$22</f>
        <v>0</v>
      </c>
      <c r="G22" s="48"/>
      <c r="H22" s="48"/>
      <c r="I22" s="47">
        <f>SUM(E22:H22)</f>
        <v>12.13</v>
      </c>
    </row>
    <row r="23" s="10" customFormat="1" ht="20.1" customHeight="1" spans="1:9">
      <c r="A23" s="67"/>
      <c r="B23" s="49"/>
      <c r="C23" s="49"/>
      <c r="D23" s="50" t="s">
        <v>138</v>
      </c>
      <c r="E23" s="48">
        <f>SUM(E21:E22)</f>
        <v>643.92</v>
      </c>
      <c r="F23" s="48">
        <f>SUM(F21:F22)</f>
        <v>0</v>
      </c>
      <c r="G23" s="48">
        <f t="shared" ref="G23:H23" si="1">SUM(G21:G22)</f>
        <v>0</v>
      </c>
      <c r="H23" s="48">
        <f t="shared" si="1"/>
        <v>0</v>
      </c>
      <c r="I23" s="48">
        <f t="shared" ref="I23" si="2">SUM(I21:I22)</f>
        <v>643.92</v>
      </c>
    </row>
    <row r="24" s="10" customFormat="1" ht="67.5" spans="1:9">
      <c r="A24" s="74">
        <f>ИД!$E$37</f>
        <v>0.03</v>
      </c>
      <c r="B24" s="44">
        <f>B22+1</f>
        <v>5</v>
      </c>
      <c r="C24" s="52" t="str">
        <f>ИД!$A$37</f>
        <v>Методика утв. Приказом Минстрой РФ от 04.08.2020г. №421/пр п.179</v>
      </c>
      <c r="D24" s="46" t="str">
        <f>CONCATENATE(ИД!$B$37," - ","1,5%",)</f>
        <v>Непредвиденные работы и затраты - 1,5%</v>
      </c>
      <c r="E24" s="47">
        <f>E23*A24</f>
        <v>19.32</v>
      </c>
      <c r="F24" s="47">
        <f>F23*A24</f>
        <v>0</v>
      </c>
      <c r="G24" s="47"/>
      <c r="H24" s="47"/>
      <c r="I24" s="47">
        <f>SUM(E24:H24)</f>
        <v>19.32</v>
      </c>
    </row>
    <row r="25" s="10" customFormat="1" ht="20.1" customHeight="1" spans="1:9">
      <c r="A25" s="67"/>
      <c r="B25" s="57"/>
      <c r="C25" s="75"/>
      <c r="D25" s="57" t="s">
        <v>139</v>
      </c>
      <c r="E25" s="48">
        <f>SUM(E24:E24)</f>
        <v>19.32</v>
      </c>
      <c r="F25" s="48">
        <f>SUM(F24:F24)</f>
        <v>0</v>
      </c>
      <c r="G25" s="48">
        <f>SUM(G24:G24)</f>
        <v>0</v>
      </c>
      <c r="H25" s="48">
        <f>SUM(H24:H24)</f>
        <v>0</v>
      </c>
      <c r="I25" s="48">
        <f>SUM(I24:I24)</f>
        <v>19.32</v>
      </c>
    </row>
    <row r="27" s="12" customFormat="1" spans="1:3">
      <c r="A27" s="71"/>
      <c r="C27" s="76"/>
    </row>
    <row r="28" s="12" customFormat="1" spans="1:7">
      <c r="A28" s="71"/>
      <c r="C28" s="76"/>
      <c r="D28" s="59" t="s">
        <v>10</v>
      </c>
      <c r="G28" s="12" t="str">
        <f>ИД!B7</f>
        <v>Н.В.Петров</v>
      </c>
    </row>
    <row r="29" s="12" customFormat="1" spans="1:4">
      <c r="A29" s="71"/>
      <c r="C29" s="76"/>
      <c r="D29" s="60"/>
    </row>
    <row r="30" s="12" customFormat="1" spans="1:7">
      <c r="A30" s="71"/>
      <c r="C30" s="76"/>
      <c r="D30" s="61" t="str">
        <f>ИД!$A$8</f>
        <v>Составил</v>
      </c>
      <c r="G30" s="12" t="str">
        <f>ИД!$B$8</f>
        <v>А.В.Исаев</v>
      </c>
    </row>
    <row r="31" s="12" customFormat="1" spans="1:4">
      <c r="A31" s="71"/>
      <c r="C31" s="76"/>
      <c r="D31" s="61"/>
    </row>
    <row r="32" s="12" customFormat="1" spans="1:7">
      <c r="A32" s="71"/>
      <c r="C32" s="76"/>
      <c r="D32" s="61" t="str">
        <f>ИД!$A$9</f>
        <v>Проверил</v>
      </c>
      <c r="E32" s="62"/>
      <c r="G32" s="12" t="str">
        <f>ИД!$B$9</f>
        <v>Н.В.Петров</v>
      </c>
    </row>
    <row r="33" s="12" customFormat="1" spans="1:4">
      <c r="A33" s="71"/>
      <c r="C33" s="76"/>
      <c r="D33" s="61"/>
    </row>
    <row r="34" s="12" customFormat="1" spans="1:5">
      <c r="A34" s="71"/>
      <c r="C34" s="76"/>
      <c r="D34" s="61"/>
      <c r="E34" s="62"/>
    </row>
    <row r="35" s="12" customFormat="1" spans="1:4">
      <c r="A35" s="71"/>
      <c r="C35" s="76"/>
      <c r="D35" s="63"/>
    </row>
    <row r="36" s="12" customFormat="1" spans="1:3">
      <c r="A36" s="71"/>
      <c r="C36" s="76"/>
    </row>
  </sheetData>
  <mergeCells count="12">
    <mergeCell ref="B1:I1"/>
    <mergeCell ref="B2:I2"/>
    <mergeCell ref="B4:I4"/>
    <mergeCell ref="B5:I5"/>
    <mergeCell ref="D7:H7"/>
    <mergeCell ref="D9:G9"/>
    <mergeCell ref="D10:G10"/>
    <mergeCell ref="D11:G11"/>
    <mergeCell ref="E15:I15"/>
    <mergeCell ref="B15:B16"/>
    <mergeCell ref="C15:C16"/>
    <mergeCell ref="D15:D16"/>
  </mergeCells>
  <printOptions horizontalCentered="1"/>
  <pageMargins left="0.511811023622047" right="0.196850393700787" top="0.393700787401575" bottom="0.196850393700787" header="0.31496062992126" footer="0.31496062992126"/>
  <pageSetup paperSize="9" scale="74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Zeros="0" view="pageBreakPreview" zoomScaleNormal="100" topLeftCell="A10" workbookViewId="0">
      <selection activeCell="G20" sqref="G20"/>
    </sheetView>
  </sheetViews>
  <sheetFormatPr defaultColWidth="9" defaultRowHeight="15"/>
  <cols>
    <col min="1" max="1" width="7.71428571428571" style="11" customWidth="1"/>
    <col min="2" max="2" width="5.71428571428571" style="13" customWidth="1"/>
    <col min="3" max="3" width="15.7142857142857" style="13" customWidth="1"/>
    <col min="4" max="4" width="39.7142857142857" style="13" customWidth="1"/>
    <col min="5" max="5" width="16.2857142857143" style="13" customWidth="1"/>
    <col min="6" max="6" width="11.7142857142857" style="13" customWidth="1"/>
    <col min="7" max="8" width="12.7142857142857" style="13" customWidth="1"/>
    <col min="9" max="9" width="14.7142857142857" style="13" customWidth="1"/>
    <col min="10" max="16384" width="9.14285714285714" style="13"/>
  </cols>
  <sheetData>
    <row r="1" spans="2:9">
      <c r="B1" s="14" t="str">
        <f>CONCATENATE(ИД!$B$10,ИД!$C$11)</f>
        <v>«Реконструкция распределительных и квартальных тепловых сетей г. Благовещенска Амурской области» Объект 2: Тепловые сети в 400 квартале от ТК-7С до ТК-64 м, L = 449,69 м, D = 325 мм.</v>
      </c>
      <c r="C1" s="14"/>
      <c r="D1" s="14"/>
      <c r="E1" s="14"/>
      <c r="F1" s="14"/>
      <c r="G1" s="14"/>
      <c r="H1" s="14"/>
      <c r="I1" s="14"/>
    </row>
    <row r="2" spans="2:9">
      <c r="B2" s="15" t="s">
        <v>79</v>
      </c>
      <c r="C2" s="15"/>
      <c r="D2" s="15"/>
      <c r="E2" s="15"/>
      <c r="F2" s="15"/>
      <c r="G2" s="15"/>
      <c r="H2" s="15"/>
      <c r="I2" s="15"/>
    </row>
    <row r="4" ht="15.75" spans="2:9">
      <c r="B4" s="16" t="s">
        <v>140</v>
      </c>
      <c r="C4" s="16"/>
      <c r="D4" s="16"/>
      <c r="E4" s="16"/>
      <c r="F4" s="16"/>
      <c r="G4" s="16"/>
      <c r="H4" s="16"/>
      <c r="I4" s="16"/>
    </row>
    <row r="5" ht="15.75" spans="2:9">
      <c r="B5" s="16" t="s">
        <v>141</v>
      </c>
      <c r="C5" s="16"/>
      <c r="D5" s="16"/>
      <c r="E5" s="16"/>
      <c r="F5" s="16"/>
      <c r="G5" s="16"/>
      <c r="H5" s="16"/>
      <c r="I5" s="16"/>
    </row>
    <row r="6" ht="15.75" spans="2:9">
      <c r="B6" s="16"/>
      <c r="C6" s="16"/>
      <c r="D6" s="16"/>
      <c r="E6" s="16"/>
      <c r="F6" s="16"/>
      <c r="G6" s="16"/>
      <c r="H6" s="16"/>
      <c r="I6" s="16"/>
    </row>
    <row r="7" s="7" customFormat="1" ht="13.5" spans="1:9">
      <c r="A7" s="17"/>
      <c r="B7" s="18"/>
      <c r="C7" s="18"/>
      <c r="D7" s="19" t="s">
        <v>117</v>
      </c>
      <c r="E7" s="19"/>
      <c r="F7" s="19"/>
      <c r="G7" s="19"/>
      <c r="H7" s="19"/>
      <c r="I7" s="18"/>
    </row>
    <row r="8" s="7" customFormat="1" ht="13.5" spans="1:9">
      <c r="A8" s="17"/>
      <c r="B8" s="20"/>
      <c r="C8" s="20"/>
      <c r="D8" s="21"/>
      <c r="E8" s="20"/>
      <c r="F8" s="20"/>
      <c r="G8" s="20"/>
      <c r="H8" s="20"/>
      <c r="I8" s="20"/>
    </row>
    <row r="9" s="7" customFormat="1" customHeight="1" spans="1:9">
      <c r="A9" s="17"/>
      <c r="B9" s="20"/>
      <c r="C9" s="18"/>
      <c r="D9" s="22" t="s">
        <v>118</v>
      </c>
      <c r="E9" s="22"/>
      <c r="F9" s="22"/>
      <c r="G9" s="22"/>
      <c r="H9" s="23">
        <f>I28</f>
        <v>0</v>
      </c>
      <c r="I9" s="64" t="s">
        <v>119</v>
      </c>
    </row>
    <row r="10" s="7" customFormat="1" ht="32.1" customHeight="1" spans="1:9">
      <c r="A10" s="17"/>
      <c r="B10" s="20"/>
      <c r="C10" s="18"/>
      <c r="D10" s="24" t="s">
        <v>120</v>
      </c>
      <c r="E10" s="24"/>
      <c r="F10" s="24"/>
      <c r="G10" s="24"/>
      <c r="H10" s="25" t="e">
        <f>ИД!#REF!</f>
        <v>#REF!</v>
      </c>
      <c r="I10" s="65" t="e">
        <f>ИД!#REF!</f>
        <v>#REF!</v>
      </c>
    </row>
    <row r="11" s="7" customFormat="1" ht="32.1" customHeight="1" spans="1:9">
      <c r="A11" s="17"/>
      <c r="B11" s="20"/>
      <c r="C11" s="18"/>
      <c r="D11" s="24" t="s">
        <v>122</v>
      </c>
      <c r="E11" s="24"/>
      <c r="F11" s="24"/>
      <c r="G11" s="24"/>
      <c r="H11" s="25" t="e">
        <f>H9/H10*1000</f>
        <v>#REF!</v>
      </c>
      <c r="I11" s="19" t="s">
        <v>123</v>
      </c>
    </row>
    <row r="12" s="8" customFormat="1" ht="13.5" spans="1:9">
      <c r="A12" s="26"/>
      <c r="B12" s="27"/>
      <c r="C12" s="27"/>
      <c r="D12" s="27"/>
      <c r="E12" s="27"/>
      <c r="F12" s="27"/>
      <c r="G12" s="28"/>
      <c r="H12" s="27"/>
      <c r="I12" s="27"/>
    </row>
    <row r="13" s="8" customFormat="1" ht="13.5" spans="1:9">
      <c r="A13" s="26"/>
      <c r="C13" s="28"/>
      <c r="D13" s="29" t="s">
        <v>142</v>
      </c>
      <c r="E13" s="29"/>
      <c r="F13" s="29"/>
      <c r="G13" s="29"/>
      <c r="H13" s="29"/>
      <c r="I13" s="29"/>
    </row>
    <row r="14" ht="15.75" spans="2:9">
      <c r="B14" s="16"/>
      <c r="C14" s="16"/>
      <c r="D14" s="30"/>
      <c r="E14" s="30"/>
      <c r="F14" s="30"/>
      <c r="G14" s="31"/>
      <c r="H14" s="32"/>
      <c r="I14" s="16"/>
    </row>
    <row r="15" customHeight="1" spans="2:9">
      <c r="B15" s="33" t="s">
        <v>125</v>
      </c>
      <c r="C15" s="33" t="s">
        <v>81</v>
      </c>
      <c r="D15" s="33" t="s">
        <v>126</v>
      </c>
      <c r="E15" s="33" t="s">
        <v>127</v>
      </c>
      <c r="F15" s="33"/>
      <c r="G15" s="33"/>
      <c r="H15" s="33"/>
      <c r="I15" s="33"/>
    </row>
    <row r="16" ht="85.5" customHeight="1" spans="2:9">
      <c r="B16" s="33"/>
      <c r="C16" s="33"/>
      <c r="D16" s="33"/>
      <c r="E16" s="34" t="s">
        <v>128</v>
      </c>
      <c r="F16" s="33" t="s">
        <v>85</v>
      </c>
      <c r="G16" s="33" t="s">
        <v>86</v>
      </c>
      <c r="H16" s="33" t="s">
        <v>129</v>
      </c>
      <c r="I16" s="33" t="s">
        <v>88</v>
      </c>
    </row>
    <row r="17" spans="2:9">
      <c r="B17" s="35" t="s">
        <v>130</v>
      </c>
      <c r="C17" s="35" t="s">
        <v>131</v>
      </c>
      <c r="D17" s="35" t="s">
        <v>132</v>
      </c>
      <c r="E17" s="35" t="s">
        <v>133</v>
      </c>
      <c r="F17" s="35" t="s">
        <v>134</v>
      </c>
      <c r="G17" s="35" t="s">
        <v>135</v>
      </c>
      <c r="H17" s="35" t="s">
        <v>136</v>
      </c>
      <c r="I17" s="35" t="s">
        <v>137</v>
      </c>
    </row>
    <row r="18" s="8" customFormat="1" ht="20.25" customHeight="1" spans="1:9">
      <c r="A18" s="26"/>
      <c r="B18" s="36">
        <v>1</v>
      </c>
      <c r="C18" s="36" t="s">
        <v>143</v>
      </c>
      <c r="D18" s="37" t="s">
        <v>144</v>
      </c>
      <c r="E18" s="38">
        <v>0</v>
      </c>
      <c r="F18" s="38"/>
      <c r="G18" s="38"/>
      <c r="H18" s="38"/>
      <c r="I18" s="38">
        <f>SUM(E18:H18)</f>
        <v>0</v>
      </c>
    </row>
    <row r="19" s="8" customFormat="1" ht="20.25" customHeight="1" spans="1:9">
      <c r="A19" s="26"/>
      <c r="B19" s="36">
        <f>B18+1</f>
        <v>2</v>
      </c>
      <c r="C19" s="36" t="s">
        <v>145</v>
      </c>
      <c r="D19" s="37" t="s">
        <v>146</v>
      </c>
      <c r="E19" s="38">
        <v>0</v>
      </c>
      <c r="F19" s="38"/>
      <c r="G19" s="38"/>
      <c r="H19" s="38"/>
      <c r="I19" s="38">
        <f t="shared" ref="I19:I21" si="0">SUM(E19:H19)</f>
        <v>0</v>
      </c>
    </row>
    <row r="20" s="8" customFormat="1" ht="20.25" customHeight="1" spans="1:9">
      <c r="A20" s="26"/>
      <c r="B20" s="36">
        <f t="shared" ref="B20:B21" si="1">B19+1</f>
        <v>3</v>
      </c>
      <c r="C20" s="36" t="s">
        <v>147</v>
      </c>
      <c r="D20" s="37" t="s">
        <v>148</v>
      </c>
      <c r="E20" s="38">
        <v>0</v>
      </c>
      <c r="F20" s="38">
        <v>0</v>
      </c>
      <c r="G20" s="38"/>
      <c r="H20" s="38"/>
      <c r="I20" s="38">
        <f t="shared" si="0"/>
        <v>0</v>
      </c>
    </row>
    <row r="21" s="8" customFormat="1" ht="20.25" customHeight="1" spans="1:9">
      <c r="A21" s="26"/>
      <c r="B21" s="36">
        <f t="shared" si="1"/>
        <v>4</v>
      </c>
      <c r="C21" s="36" t="s">
        <v>149</v>
      </c>
      <c r="D21" s="37" t="s">
        <v>150</v>
      </c>
      <c r="E21" s="38">
        <v>0</v>
      </c>
      <c r="F21" s="38">
        <v>0</v>
      </c>
      <c r="G21" s="38">
        <v>0</v>
      </c>
      <c r="H21" s="38"/>
      <c r="I21" s="38">
        <f t="shared" si="0"/>
        <v>0</v>
      </c>
    </row>
    <row r="22" s="9" customFormat="1" customHeight="1" spans="1:9">
      <c r="A22" s="39"/>
      <c r="B22" s="40"/>
      <c r="C22" s="40"/>
      <c r="D22" s="41" t="s">
        <v>138</v>
      </c>
      <c r="E22" s="42">
        <f>SUM(E18:E21)</f>
        <v>0</v>
      </c>
      <c r="F22" s="42">
        <f>SUM(F18:F21)</f>
        <v>0</v>
      </c>
      <c r="G22" s="42">
        <f>SUM(G18:G21)</f>
        <v>0</v>
      </c>
      <c r="H22" s="42">
        <f>SUM(H18:H21)</f>
        <v>0</v>
      </c>
      <c r="I22" s="42">
        <f>SUM(I18:I21)</f>
        <v>0</v>
      </c>
    </row>
    <row r="23" s="10" customFormat="1" ht="81" spans="1:9">
      <c r="A23" s="43">
        <f>ИД!$G$25%</f>
        <v>0.0192</v>
      </c>
      <c r="B23" s="44">
        <f>B21+1</f>
        <v>5</v>
      </c>
      <c r="C23" s="45" t="str">
        <f>ИД!$A$25</f>
        <v>Методика утв. Приказом Минстрой РФ от 19.06.20г. №332/пр, Приложение 1, п.53</v>
      </c>
      <c r="D23" s="46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47">
        <f>E22*$A$23</f>
        <v>0</v>
      </c>
      <c r="F23" s="47">
        <f>F22*A23</f>
        <v>0</v>
      </c>
      <c r="G23" s="47"/>
      <c r="H23" s="48"/>
      <c r="I23" s="47">
        <f>SUM(E23:H23)</f>
        <v>0</v>
      </c>
    </row>
    <row r="24" s="10" customFormat="1" ht="18" customHeight="1" spans="1:9">
      <c r="A24" s="11"/>
      <c r="B24" s="49"/>
      <c r="C24" s="49"/>
      <c r="D24" s="50" t="s">
        <v>138</v>
      </c>
      <c r="E24" s="48">
        <f>SUM(E22:E23)</f>
        <v>0</v>
      </c>
      <c r="F24" s="48">
        <f t="shared" ref="F24:I24" si="2">SUM(F22:F23)</f>
        <v>0</v>
      </c>
      <c r="G24" s="48">
        <f t="shared" si="2"/>
        <v>0</v>
      </c>
      <c r="H24" s="48">
        <f t="shared" si="2"/>
        <v>0</v>
      </c>
      <c r="I24" s="48">
        <f t="shared" si="2"/>
        <v>0</v>
      </c>
    </row>
    <row r="25" s="10" customFormat="1" ht="13.5" spans="1:9">
      <c r="A25" s="51">
        <v>0.1125</v>
      </c>
      <c r="B25" s="44">
        <f>B23+1</f>
        <v>6</v>
      </c>
      <c r="C25" s="52" t="e">
        <f>ИД!#REF!</f>
        <v>#REF!</v>
      </c>
      <c r="D25" s="53" t="e">
        <f>CONCATENATE(ИД!#REF!," - ",ИД!#REF!,ИД!#REF!,"*",0.9,"=",11.25,"%")</f>
        <v>#REF!</v>
      </c>
      <c r="E25" s="47">
        <f>E24*A25</f>
        <v>0</v>
      </c>
      <c r="F25" s="54">
        <f>F24*A25</f>
        <v>0</v>
      </c>
      <c r="G25" s="49"/>
      <c r="H25" s="49"/>
      <c r="I25" s="47">
        <f>SUM(E25:H25)</f>
        <v>0</v>
      </c>
    </row>
    <row r="26" s="10" customFormat="1" ht="18" customHeight="1" spans="1:9">
      <c r="A26" s="55"/>
      <c r="B26" s="44"/>
      <c r="C26" s="56"/>
      <c r="D26" s="50" t="s">
        <v>138</v>
      </c>
      <c r="E26" s="48">
        <f>SUM(E24:E25)</f>
        <v>0</v>
      </c>
      <c r="F26" s="48">
        <f>SUM(F24:F25)</f>
        <v>0</v>
      </c>
      <c r="G26" s="48">
        <f>SUM(G24:G25)</f>
        <v>0</v>
      </c>
      <c r="H26" s="48">
        <f>SUM(H24:H25)</f>
        <v>0</v>
      </c>
      <c r="I26" s="48">
        <f>SUM(I24:I25)</f>
        <v>0</v>
      </c>
    </row>
    <row r="27" s="10" customFormat="1" ht="60" spans="1:9">
      <c r="A27" s="43">
        <f>ИД!$E$37</f>
        <v>0.03</v>
      </c>
      <c r="B27" s="44">
        <f>B25+1</f>
        <v>7</v>
      </c>
      <c r="C27" s="45" t="str">
        <f>ИД!$A$37</f>
        <v>Методика утв. Приказом Минстрой РФ от 04.08.2020г. №421/пр п.179</v>
      </c>
      <c r="D27" s="46" t="str">
        <f>CONCATENATE(ИД!$B$37," - ","1,5%",)</f>
        <v>Непредвиденные работы и затраты - 1,5%</v>
      </c>
      <c r="E27" s="47">
        <f>E26*$A$27</f>
        <v>0</v>
      </c>
      <c r="F27" s="47">
        <f t="shared" ref="F27:H27" si="3">F26*$A$27</f>
        <v>0</v>
      </c>
      <c r="G27" s="47">
        <f>G26*$A$27</f>
        <v>0</v>
      </c>
      <c r="H27" s="47">
        <f t="shared" si="3"/>
        <v>0</v>
      </c>
      <c r="I27" s="47">
        <f>SUM(E27:H27)</f>
        <v>0</v>
      </c>
    </row>
    <row r="28" s="10" customFormat="1" ht="20.1" customHeight="1" spans="1:9">
      <c r="A28" s="11"/>
      <c r="B28" s="57"/>
      <c r="C28" s="57"/>
      <c r="D28" s="57" t="s">
        <v>139</v>
      </c>
      <c r="E28" s="58">
        <f>SUM(E26:E27)</f>
        <v>0</v>
      </c>
      <c r="F28" s="58">
        <f t="shared" ref="F28:I28" si="4">SUM(F26:F27)</f>
        <v>0</v>
      </c>
      <c r="G28" s="58">
        <f t="shared" si="4"/>
        <v>0</v>
      </c>
      <c r="H28" s="58">
        <f t="shared" si="4"/>
        <v>0</v>
      </c>
      <c r="I28" s="58">
        <f t="shared" si="4"/>
        <v>0</v>
      </c>
    </row>
    <row r="29" s="11" customFormat="1" ht="12.75"/>
    <row r="31" s="12" customFormat="1" spans="1:7">
      <c r="A31" s="26"/>
      <c r="D31" s="59" t="s">
        <v>10</v>
      </c>
      <c r="G31" s="12" t="str">
        <f>ИД!$B$7</f>
        <v>Н.В.Петров</v>
      </c>
    </row>
    <row r="32" s="12" customFormat="1" spans="1:4">
      <c r="A32" s="26"/>
      <c r="D32" s="60"/>
    </row>
    <row r="33" s="12" customFormat="1" spans="1:7">
      <c r="A33" s="26"/>
      <c r="D33" s="12" t="e">
        <f>ИД!#REF!</f>
        <v>#REF!</v>
      </c>
      <c r="G33" s="12" t="e">
        <f>ИД!#REF!</f>
        <v>#REF!</v>
      </c>
    </row>
    <row r="34" s="12" customFormat="1" spans="1:4">
      <c r="A34" s="26"/>
      <c r="D34" s="61"/>
    </row>
    <row r="35" s="12" customFormat="1" spans="1:7">
      <c r="A35" s="26"/>
      <c r="D35" s="61" t="str">
        <f>ИД!$A$8</f>
        <v>Составил</v>
      </c>
      <c r="G35" s="12" t="str">
        <f>ИД!$B$8</f>
        <v>А.В.Исаев</v>
      </c>
    </row>
    <row r="36" s="12" customFormat="1" spans="1:4">
      <c r="A36" s="26"/>
      <c r="D36" s="61"/>
    </row>
    <row r="37" s="12" customFormat="1" spans="1:7">
      <c r="A37" s="26"/>
      <c r="D37" s="61" t="str">
        <f>ИД!$A$9</f>
        <v>Проверил</v>
      </c>
      <c r="E37" s="62"/>
      <c r="G37" s="12" t="str">
        <f>ИД!$B$9</f>
        <v>Н.В.Петров</v>
      </c>
    </row>
    <row r="38" s="12" customFormat="1" spans="1:4">
      <c r="A38" s="26"/>
      <c r="D38" s="63"/>
    </row>
  </sheetData>
  <mergeCells count="12">
    <mergeCell ref="B1:I1"/>
    <mergeCell ref="B2:I2"/>
    <mergeCell ref="B4:I4"/>
    <mergeCell ref="B5:I5"/>
    <mergeCell ref="D7:H7"/>
    <mergeCell ref="D9:G9"/>
    <mergeCell ref="D10:G10"/>
    <mergeCell ref="D11:G11"/>
    <mergeCell ref="E15:I15"/>
    <mergeCell ref="B15:B16"/>
    <mergeCell ref="C15:C16"/>
    <mergeCell ref="D15:D16"/>
  </mergeCells>
  <printOptions horizontalCentered="1"/>
  <pageMargins left="0.511811023622047" right="0.196850393700787" top="0.393700787401575" bottom="0.196850393700787" header="0.31496062992126" footer="0.31496062992126"/>
  <pageSetup paperSize="9" scale="74" orientation="portrait"/>
  <headerFooter/>
  <drawing r:id="rId1"/>
  <legacyDrawing r:id="rId2"/>
  <oleObjects>
    <mc:AlternateContent xmlns:mc="http://schemas.openxmlformats.org/markup-compatibility/2006">
      <mc:Choice Requires="x14">
        <oleObject shapeId="12289" progId="Visio.Drawing.11" r:id="rId3">
          <objectPr defaultSize="0" r:id="rId4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shapeId="12289" progId="Visio.Drawing.11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6"/>
  <sheetViews>
    <sheetView showZeros="0" view="pageBreakPreview" zoomScaleNormal="100" topLeftCell="A39" workbookViewId="0">
      <selection activeCell="H50" sqref="H50"/>
    </sheetView>
  </sheetViews>
  <sheetFormatPr defaultColWidth="9" defaultRowHeight="15"/>
  <cols>
    <col min="1" max="1" width="6.42857142857143" style="13" customWidth="1"/>
    <col min="2" max="2" width="5.71428571428571" style="13" customWidth="1"/>
    <col min="3" max="3" width="19.7142857142857" style="13" customWidth="1"/>
    <col min="4" max="4" width="48.7142857142857" style="13" customWidth="1"/>
    <col min="5" max="5" width="16.2857142857143" style="13" customWidth="1"/>
    <col min="6" max="8" width="13.7142857142857" style="13" customWidth="1"/>
    <col min="9" max="9" width="15.7142857142857" style="13" customWidth="1"/>
    <col min="10" max="10" width="9.14285714285714" style="80"/>
    <col min="11" max="16384" width="9.14285714285714" style="13"/>
  </cols>
  <sheetData>
    <row r="1" spans="2:9">
      <c r="B1" s="81"/>
      <c r="C1" s="82"/>
      <c r="D1" s="83"/>
      <c r="E1" s="81"/>
      <c r="F1" s="81"/>
      <c r="G1" s="81"/>
      <c r="H1" s="81"/>
      <c r="I1" s="147" t="s">
        <v>73</v>
      </c>
    </row>
    <row r="2" spans="2:9">
      <c r="B2" s="81"/>
      <c r="C2" s="82" t="s">
        <v>74</v>
      </c>
      <c r="D2" s="84" t="str">
        <f>ИД!B2</f>
        <v>ООО "Север"</v>
      </c>
      <c r="E2" s="84"/>
      <c r="F2" s="84"/>
      <c r="G2" s="84"/>
      <c r="H2" s="84"/>
      <c r="I2" s="81"/>
    </row>
    <row r="3" spans="2:9">
      <c r="B3" s="81"/>
      <c r="C3" s="82"/>
      <c r="D3" s="85" t="s">
        <v>75</v>
      </c>
      <c r="E3" s="85"/>
      <c r="F3" s="85"/>
      <c r="G3" s="85"/>
      <c r="H3" s="85"/>
      <c r="I3" s="81"/>
    </row>
    <row r="4" spans="2:9">
      <c r="B4" s="81"/>
      <c r="C4" s="82" t="s">
        <v>76</v>
      </c>
      <c r="D4" s="86"/>
      <c r="E4" s="81"/>
      <c r="F4" s="87"/>
      <c r="G4" s="81"/>
      <c r="H4" s="81"/>
      <c r="I4" s="81"/>
    </row>
    <row r="5" spans="2:9">
      <c r="B5" s="81"/>
      <c r="C5" s="82"/>
      <c r="D5" s="83"/>
      <c r="E5" s="81"/>
      <c r="F5" s="87"/>
      <c r="G5" s="81"/>
      <c r="H5" s="81"/>
      <c r="I5" s="81"/>
    </row>
    <row r="6" spans="2:9">
      <c r="B6" s="81"/>
      <c r="C6" s="88" t="str">
        <f>" Сводный сметный расчет сметной стоимостью     "&amp;I54&amp;"     тыс.руб."</f>
        <v> Сводный сметный расчет сметной стоимостью     3503,83     тыс.руб.</v>
      </c>
      <c r="D6" s="83"/>
      <c r="E6" s="81"/>
      <c r="F6" s="87"/>
      <c r="G6" s="81"/>
      <c r="H6" s="81"/>
      <c r="I6" s="81"/>
    </row>
    <row r="7" spans="2:9">
      <c r="B7" s="81"/>
      <c r="C7" s="89"/>
      <c r="D7" s="84"/>
      <c r="E7" s="84"/>
      <c r="F7" s="84"/>
      <c r="G7" s="84"/>
      <c r="H7" s="84"/>
      <c r="I7" s="81"/>
    </row>
    <row r="8" spans="2:9">
      <c r="B8" s="81"/>
      <c r="C8" s="82"/>
      <c r="D8" s="85" t="s">
        <v>77</v>
      </c>
      <c r="E8" s="85"/>
      <c r="F8" s="85"/>
      <c r="G8" s="85"/>
      <c r="H8" s="85"/>
      <c r="I8" s="81"/>
    </row>
    <row r="9" spans="2:9">
      <c r="B9" s="81"/>
      <c r="C9" s="82"/>
      <c r="D9" s="83"/>
      <c r="E9" s="90"/>
      <c r="F9" s="90"/>
      <c r="G9" s="90"/>
      <c r="H9" s="81"/>
      <c r="I9" s="81"/>
    </row>
    <row r="10" ht="18.75" customHeight="1" spans="2:9">
      <c r="B10" s="81"/>
      <c r="C10" s="82"/>
      <c r="D10" s="91" t="s">
        <v>151</v>
      </c>
      <c r="E10" s="91"/>
      <c r="F10" s="91"/>
      <c r="G10" s="91"/>
      <c r="H10" s="91"/>
      <c r="I10" s="81"/>
    </row>
    <row r="11" spans="2:9">
      <c r="B11" s="81"/>
      <c r="C11" s="82"/>
      <c r="D11" s="83"/>
      <c r="E11" s="90"/>
      <c r="F11" s="90"/>
      <c r="G11" s="81"/>
      <c r="H11" s="81"/>
      <c r="I11" s="81"/>
    </row>
    <row r="12" ht="29.25" customHeight="1" spans="2:9">
      <c r="B12" s="81"/>
      <c r="C12" s="82"/>
      <c r="D12" s="92" t="str">
        <f>CONCATENATE(ИД!B10,ИД!C11)</f>
        <v>«Реконструкция распределительных и квартальных тепловых сетей г. Благовещенска Амурской области» Объект 2: Тепловые сети в 400 квартале от ТК-7С до ТК-64 м, L = 449,69 м, D = 325 мм.</v>
      </c>
      <c r="E12" s="92"/>
      <c r="F12" s="92"/>
      <c r="G12" s="92"/>
      <c r="H12" s="92"/>
      <c r="I12" s="81"/>
    </row>
    <row r="13" spans="2:9">
      <c r="B13" s="81"/>
      <c r="C13" s="82"/>
      <c r="D13" s="85" t="s">
        <v>79</v>
      </c>
      <c r="E13" s="85"/>
      <c r="F13" s="85"/>
      <c r="G13" s="85"/>
      <c r="H13" s="85"/>
      <c r="I13" s="81"/>
    </row>
    <row r="14" ht="21" customHeight="1" spans="2:9">
      <c r="B14" s="93" t="s">
        <v>152</v>
      </c>
      <c r="C14" s="93"/>
      <c r="D14" s="93"/>
      <c r="E14" s="93"/>
      <c r="F14" s="93"/>
      <c r="G14" s="93"/>
      <c r="H14" s="93"/>
      <c r="I14" s="93"/>
    </row>
    <row r="15" customHeight="1" spans="2:9">
      <c r="B15" s="94" t="s">
        <v>80</v>
      </c>
      <c r="C15" s="95" t="s">
        <v>81</v>
      </c>
      <c r="D15" s="94" t="s">
        <v>82</v>
      </c>
      <c r="E15" s="96" t="s">
        <v>83</v>
      </c>
      <c r="F15" s="96"/>
      <c r="G15" s="96"/>
      <c r="H15" s="96"/>
      <c r="I15" s="96"/>
    </row>
    <row r="16" ht="81.75" customHeight="1" spans="2:9">
      <c r="B16" s="94"/>
      <c r="C16" s="95"/>
      <c r="D16" s="94"/>
      <c r="E16" s="94" t="s">
        <v>84</v>
      </c>
      <c r="F16" s="94" t="s">
        <v>85</v>
      </c>
      <c r="G16" s="94" t="s">
        <v>86</v>
      </c>
      <c r="H16" s="94" t="s">
        <v>87</v>
      </c>
      <c r="I16" s="94" t="s">
        <v>88</v>
      </c>
    </row>
    <row r="17" spans="2:9">
      <c r="B17" s="96">
        <v>1</v>
      </c>
      <c r="C17" s="97">
        <v>2</v>
      </c>
      <c r="D17" s="96">
        <v>3</v>
      </c>
      <c r="E17" s="96">
        <v>4</v>
      </c>
      <c r="F17" s="96">
        <v>5</v>
      </c>
      <c r="G17" s="96">
        <v>6</v>
      </c>
      <c r="H17" s="96">
        <v>7</v>
      </c>
      <c r="I17" s="96">
        <v>8</v>
      </c>
    </row>
    <row r="18" s="11" customFormat="1" ht="21" customHeight="1" spans="1:10">
      <c r="A18" s="55"/>
      <c r="B18" s="98" t="s">
        <v>89</v>
      </c>
      <c r="C18" s="99"/>
      <c r="D18" s="99"/>
      <c r="E18" s="99"/>
      <c r="F18" s="99"/>
      <c r="G18" s="99"/>
      <c r="H18" s="99"/>
      <c r="I18" s="99"/>
      <c r="J18" s="80"/>
    </row>
    <row r="19" s="11" customFormat="1" ht="28.5" customHeight="1" spans="1:10">
      <c r="A19" s="55"/>
      <c r="B19" s="94">
        <v>1</v>
      </c>
      <c r="C19" s="99" t="str">
        <f>ИД!A23</f>
        <v>09-01-23-1-ООС</v>
      </c>
      <c r="D19" s="99" t="str">
        <f>CONCATENATE(ИД!B23,"(",ИД!E23,"/",ИД!B15,")")</f>
        <v>Компенсационные выплаты за снос зеленых насаждений(197,39/14,17)</v>
      </c>
      <c r="E19" s="99"/>
      <c r="F19" s="99"/>
      <c r="G19" s="99"/>
      <c r="H19" s="100">
        <f>ИД!E23/ИД!B15</f>
        <v>13.93</v>
      </c>
      <c r="I19" s="100">
        <f>SUM(E19:H19)</f>
        <v>13.93</v>
      </c>
      <c r="J19" s="80"/>
    </row>
    <row r="20" s="11" customFormat="1" ht="26.25" customHeight="1" spans="1:12">
      <c r="A20" s="55"/>
      <c r="B20" s="101">
        <f>B19+1</f>
        <v>2</v>
      </c>
      <c r="C20" s="102" t="s">
        <v>153</v>
      </c>
      <c r="D20" s="103" t="s">
        <v>154</v>
      </c>
      <c r="E20" s="102">
        <f>'ОС-01-01'!E21</f>
        <v>23.87</v>
      </c>
      <c r="F20" s="102">
        <f>'ОС-01-01'!F21</f>
        <v>0</v>
      </c>
      <c r="G20" s="102">
        <f>'ОС-01-01'!G21</f>
        <v>0</v>
      </c>
      <c r="H20" s="102"/>
      <c r="I20" s="102">
        <f t="shared" ref="I20" si="0">SUM(E20:H20)</f>
        <v>23.87</v>
      </c>
      <c r="J20" s="80"/>
      <c r="L20" s="148"/>
    </row>
    <row r="21" s="11" customFormat="1" ht="20.1" customHeight="1" spans="1:10">
      <c r="A21" s="55"/>
      <c r="B21" s="101"/>
      <c r="C21" s="104"/>
      <c r="D21" s="105" t="s">
        <v>90</v>
      </c>
      <c r="E21" s="106">
        <f>SUM(E19:E20)</f>
        <v>23.87</v>
      </c>
      <c r="F21" s="106">
        <f>SUM(F19:F20)</f>
        <v>0</v>
      </c>
      <c r="G21" s="106">
        <f>SUM(G19:G20)</f>
        <v>0</v>
      </c>
      <c r="H21" s="106">
        <f>SUM(H19:H20)</f>
        <v>13.93</v>
      </c>
      <c r="I21" s="106">
        <f>SUM(I19:I20)</f>
        <v>37.8</v>
      </c>
      <c r="J21" s="149" t="b">
        <f>SUM(E21:H21)=SUM(I19:I20)</f>
        <v>1</v>
      </c>
    </row>
    <row r="22" s="11" customFormat="1" ht="20.1" customHeight="1" spans="1:10">
      <c r="A22" s="55"/>
      <c r="B22" s="98" t="s">
        <v>91</v>
      </c>
      <c r="C22" s="99"/>
      <c r="D22" s="99"/>
      <c r="E22" s="99"/>
      <c r="F22" s="99"/>
      <c r="G22" s="99"/>
      <c r="H22" s="99"/>
      <c r="I22" s="99"/>
      <c r="J22" s="80"/>
    </row>
    <row r="23" s="11" customFormat="1" ht="26.25" customHeight="1" spans="1:12">
      <c r="A23" s="55"/>
      <c r="B23" s="101">
        <f>B20+1</f>
        <v>3</v>
      </c>
      <c r="C23" s="102" t="s">
        <v>155</v>
      </c>
      <c r="D23" s="103" t="s">
        <v>156</v>
      </c>
      <c r="E23" s="102">
        <v>2042.78</v>
      </c>
      <c r="F23" s="102">
        <v>26.85</v>
      </c>
      <c r="G23" s="102"/>
      <c r="H23" s="102"/>
      <c r="I23" s="102">
        <f>SUM(E23:H23)</f>
        <v>2069.63</v>
      </c>
      <c r="J23" s="80"/>
      <c r="L23" s="148"/>
    </row>
    <row r="24" s="11" customFormat="1" ht="20.1" customHeight="1" spans="1:10">
      <c r="A24" s="55"/>
      <c r="B24" s="107"/>
      <c r="C24" s="104"/>
      <c r="D24" s="105" t="s">
        <v>92</v>
      </c>
      <c r="E24" s="106">
        <f>SUM(E23:E23)</f>
        <v>2042.78</v>
      </c>
      <c r="F24" s="106">
        <f>SUM(F23:F23)</f>
        <v>26.85</v>
      </c>
      <c r="G24" s="106">
        <f>SUM(G23:G23)</f>
        <v>0</v>
      </c>
      <c r="H24" s="106">
        <f>SUM(H23:H23)</f>
        <v>0</v>
      </c>
      <c r="I24" s="106">
        <f>SUM(I23:I23)</f>
        <v>2069.63</v>
      </c>
      <c r="J24" s="149" t="b">
        <f>SUM(E24:H24)=SUM(I23:I23)</f>
        <v>1</v>
      </c>
    </row>
    <row r="25" s="11" customFormat="1" ht="22.5" customHeight="1" spans="1:10">
      <c r="A25" s="55"/>
      <c r="B25" s="98" t="s">
        <v>93</v>
      </c>
      <c r="C25" s="99"/>
      <c r="D25" s="99"/>
      <c r="E25" s="99"/>
      <c r="F25" s="99"/>
      <c r="G25" s="99"/>
      <c r="H25" s="99"/>
      <c r="I25" s="99"/>
      <c r="J25" s="149"/>
    </row>
    <row r="26" s="26" customFormat="1" ht="30.75" customHeight="1" spans="1:12">
      <c r="A26" s="108"/>
      <c r="B26" s="109">
        <f>B23+1</f>
        <v>4</v>
      </c>
      <c r="C26" s="110" t="s">
        <v>157</v>
      </c>
      <c r="D26" s="111" t="s">
        <v>158</v>
      </c>
      <c r="E26" s="112">
        <v>250.56</v>
      </c>
      <c r="F26" s="112"/>
      <c r="G26" s="112"/>
      <c r="H26" s="112"/>
      <c r="I26" s="110">
        <f>SUM(E26:H26)</f>
        <v>250.56</v>
      </c>
      <c r="J26" s="149"/>
      <c r="L26" s="150"/>
    </row>
    <row r="27" s="11" customFormat="1" ht="20.1" customHeight="1" spans="1:10">
      <c r="A27" s="55"/>
      <c r="B27" s="107"/>
      <c r="C27" s="104"/>
      <c r="D27" s="105" t="s">
        <v>94</v>
      </c>
      <c r="E27" s="106">
        <f>SUM(E26:E26)</f>
        <v>250.56</v>
      </c>
      <c r="F27" s="106">
        <f>SUM(F26:F26)</f>
        <v>0</v>
      </c>
      <c r="G27" s="106">
        <f>SUM(G26:G26)</f>
        <v>0</v>
      </c>
      <c r="H27" s="106">
        <f>SUM(H26:H26)</f>
        <v>0</v>
      </c>
      <c r="I27" s="106">
        <f>SUM(I26:I26)</f>
        <v>250.56</v>
      </c>
      <c r="J27" s="149"/>
    </row>
    <row r="28" s="11" customFormat="1" ht="20.1" customHeight="1" spans="1:14">
      <c r="A28" s="108"/>
      <c r="B28" s="96"/>
      <c r="C28" s="113"/>
      <c r="D28" s="98" t="s">
        <v>95</v>
      </c>
      <c r="E28" s="106">
        <f>E21+E24+E27</f>
        <v>2317.21</v>
      </c>
      <c r="F28" s="106">
        <f>F21+F24+F27</f>
        <v>26.85</v>
      </c>
      <c r="G28" s="106">
        <f>G21+G24+G27</f>
        <v>0</v>
      </c>
      <c r="H28" s="106">
        <f>H21+H24+H27</f>
        <v>13.93</v>
      </c>
      <c r="I28" s="106">
        <f>I21+I24+I27</f>
        <v>2357.99</v>
      </c>
      <c r="J28" s="149" t="b">
        <f>SUM(E28:H28)=I21+I24+I27</f>
        <v>1</v>
      </c>
      <c r="K28" s="151">
        <f>E20+E23+F23+E26</f>
        <v>2344.06</v>
      </c>
      <c r="L28" s="151"/>
      <c r="M28" s="151"/>
      <c r="N28" s="151"/>
    </row>
    <row r="29" s="11" customFormat="1" ht="20.1" customHeight="1" spans="1:10">
      <c r="A29" s="55"/>
      <c r="B29" s="98" t="s">
        <v>96</v>
      </c>
      <c r="C29" s="99"/>
      <c r="D29" s="99"/>
      <c r="E29" s="99"/>
      <c r="F29" s="99"/>
      <c r="G29" s="99"/>
      <c r="H29" s="99"/>
      <c r="I29" s="99"/>
      <c r="J29" s="80"/>
    </row>
    <row r="30" s="11" customFormat="1" ht="66.75" customHeight="1" spans="1:10">
      <c r="A30" s="43">
        <f>ИД!$G$25%</f>
        <v>0.0192</v>
      </c>
      <c r="B30" s="114">
        <f>B26+1</f>
        <v>5</v>
      </c>
      <c r="C30" s="115" t="str">
        <f>ИД!$A$25</f>
        <v>Методика утв. Приказом Минстрой РФ от 19.06.20г. №332/пр, Приложение 1, п.53</v>
      </c>
      <c r="D30" s="116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30" s="117">
        <f>E28*A30</f>
        <v>44.49</v>
      </c>
      <c r="F30" s="117">
        <f>F28*A30</f>
        <v>0.52</v>
      </c>
      <c r="G30" s="102"/>
      <c r="H30" s="102"/>
      <c r="I30" s="102">
        <f>SUM(E30:H30)</f>
        <v>45.01</v>
      </c>
      <c r="J30" s="80"/>
    </row>
    <row r="31" s="11" customFormat="1" ht="20.1" customHeight="1" spans="1:10">
      <c r="A31" s="55"/>
      <c r="B31" s="107"/>
      <c r="C31" s="103"/>
      <c r="D31" s="105" t="s">
        <v>97</v>
      </c>
      <c r="E31" s="106">
        <f>SUM(E30:E30)</f>
        <v>44.49</v>
      </c>
      <c r="F31" s="106">
        <f>SUM(F30:F30)</f>
        <v>0.52</v>
      </c>
      <c r="G31" s="106">
        <f>SUM(G30:G30)</f>
        <v>0</v>
      </c>
      <c r="H31" s="106">
        <f>SUM(H30:H30)</f>
        <v>0</v>
      </c>
      <c r="I31" s="106">
        <f>SUM(I30:I30)</f>
        <v>45.01</v>
      </c>
      <c r="J31" s="149" t="b">
        <f>SUM(E31:H31)=SUM(I30:I30)</f>
        <v>1</v>
      </c>
    </row>
    <row r="32" s="11" customFormat="1" ht="20.1" customHeight="1" spans="1:10">
      <c r="A32" s="55"/>
      <c r="B32" s="96"/>
      <c r="C32" s="113"/>
      <c r="D32" s="98" t="s">
        <v>98</v>
      </c>
      <c r="E32" s="106">
        <f>E28+E31</f>
        <v>2361.7</v>
      </c>
      <c r="F32" s="106">
        <f>F28+F31</f>
        <v>27.37</v>
      </c>
      <c r="G32" s="106">
        <f>G28+G31</f>
        <v>0</v>
      </c>
      <c r="H32" s="106">
        <f>H28+H31</f>
        <v>13.93</v>
      </c>
      <c r="I32" s="106">
        <f>I28+I31</f>
        <v>2403</v>
      </c>
      <c r="J32" s="149" t="b">
        <f>SUM(E32:H32)=I28+I31</f>
        <v>1</v>
      </c>
    </row>
    <row r="33" s="11" customFormat="1" ht="18" customHeight="1" spans="1:10">
      <c r="A33" s="55"/>
      <c r="B33" s="98" t="s">
        <v>99</v>
      </c>
      <c r="C33" s="99"/>
      <c r="D33" s="99"/>
      <c r="E33" s="99"/>
      <c r="F33" s="99"/>
      <c r="G33" s="99"/>
      <c r="H33" s="99"/>
      <c r="I33" s="99"/>
      <c r="J33" s="80"/>
    </row>
    <row r="34" s="11" customFormat="1" ht="30.75" customHeight="1" spans="1:10">
      <c r="A34" s="55"/>
      <c r="B34" s="114">
        <f>B30+1</f>
        <v>6</v>
      </c>
      <c r="C34" s="103" t="str">
        <f>ИД!A26</f>
        <v>СР-1</v>
      </c>
      <c r="D34" s="103" t="str">
        <f>CONCATENATE(ИД!B26," ","(",ИД!E26,"/",1.2,"/",ИД!B15,")")</f>
        <v>Стоимость размещения отходов на полигоне ТБО (5523,59/1,2/14,17)</v>
      </c>
      <c r="E34" s="102"/>
      <c r="F34" s="102"/>
      <c r="G34" s="102"/>
      <c r="H34" s="102">
        <f>ССРтек!H34/ИД!B15</f>
        <v>324.84</v>
      </c>
      <c r="I34" s="112">
        <f t="shared" ref="I34:I38" si="1">SUM(E34:H34)</f>
        <v>324.84</v>
      </c>
      <c r="J34" s="80"/>
    </row>
    <row r="35" s="11" customFormat="1" ht="40.5" customHeight="1" spans="1:10">
      <c r="A35" s="55"/>
      <c r="B35" s="114">
        <f>B34+1</f>
        <v>7</v>
      </c>
      <c r="C35" s="103" t="str">
        <f>ИД!A27</f>
        <v>09-01-23-1-ООС  таб.3.1</v>
      </c>
      <c r="D35" s="103" t="str">
        <f>CONCATENATE(ИД!B27,"(",ИД!E27,"/",ИД!B15,")")</f>
        <v>Расчёт платы за негативное воздействие на окружающую среду (выбросы загрязняющих веществ в атмосферу)(0,26/14,17)</v>
      </c>
      <c r="E35" s="102"/>
      <c r="F35" s="102"/>
      <c r="G35" s="102"/>
      <c r="H35" s="102">
        <f>ИД!E27/ИД!B15</f>
        <v>0.02</v>
      </c>
      <c r="I35" s="112">
        <f t="shared" si="1"/>
        <v>0.02</v>
      </c>
      <c r="J35" s="80"/>
    </row>
    <row r="36" s="26" customFormat="1" ht="37.5" customHeight="1" spans="1:10">
      <c r="A36" s="108"/>
      <c r="B36" s="114">
        <f>B35+1</f>
        <v>8</v>
      </c>
      <c r="C36" s="118" t="str">
        <f>ИД!A28</f>
        <v>09-01-23-1-ООС таб.3.1</v>
      </c>
      <c r="D36" s="118" t="str">
        <f>CONCATENATE(ИД!B28,"
(",ИД!E28,"/",ИД!$B$15,")")</f>
        <v>Расчёт платы за негативное воздействие на окружающую среду (размещеие отходов)
(574,28/14,17)</v>
      </c>
      <c r="E36" s="119"/>
      <c r="F36" s="119"/>
      <c r="G36" s="119"/>
      <c r="H36" s="120">
        <f>ИД!E28/ИД!B15</f>
        <v>40.53</v>
      </c>
      <c r="I36" s="152">
        <f t="shared" si="1"/>
        <v>40.53</v>
      </c>
      <c r="J36" s="153"/>
    </row>
    <row r="37" s="26" customFormat="1" ht="51" hidden="1" spans="1:10">
      <c r="A37" s="108"/>
      <c r="B37" s="114">
        <f t="shared" ref="B37" si="2">B36+1</f>
        <v>9</v>
      </c>
      <c r="C37" s="121" t="str">
        <f>ИД!A29</f>
        <v>Приложение №1 к договору №1428/21-ТП от 05.04.2021,счет №АS-з 1428/21 от 05.04.2021</v>
      </c>
      <c r="D37" s="121" t="str">
        <f>CONCATENATE(ИД!B29," (",ИД!E29,"/1,2/1000/",ИД!$B$15,")")</f>
        <v>Плата за технологическое присоединение к сетям АО "ДРСК" (0/1,2/1000/14,17)</v>
      </c>
      <c r="E37" s="122"/>
      <c r="F37" s="122"/>
      <c r="G37" s="122"/>
      <c r="H37" s="122"/>
      <c r="I37" s="154">
        <f t="shared" si="1"/>
        <v>0</v>
      </c>
      <c r="J37" s="153"/>
    </row>
    <row r="38" s="26" customFormat="1" ht="27" customHeight="1" spans="1:10">
      <c r="A38" s="108"/>
      <c r="B38" s="114">
        <f>B36+1</f>
        <v>9</v>
      </c>
      <c r="C38" s="123" t="str">
        <f>ИД!A30</f>
        <v>09-01-23-1-ООС  таб.3.1</v>
      </c>
      <c r="D38" s="123" t="str">
        <f>CONCATENATE(ИД!B30,"(",ИД!E30,"/",ИД!B15,")")</f>
        <v>Расчет затрат на экологический мониторинг(10,53/14,17)</v>
      </c>
      <c r="E38" s="110"/>
      <c r="F38" s="110"/>
      <c r="G38" s="110"/>
      <c r="H38" s="110">
        <f>ИД!E30/ИД!B15</f>
        <v>0.74</v>
      </c>
      <c r="I38" s="112">
        <f t="shared" si="1"/>
        <v>0.74</v>
      </c>
      <c r="J38" s="153"/>
    </row>
    <row r="39" s="11" customFormat="1" ht="18" customHeight="1" spans="1:10">
      <c r="A39" s="55"/>
      <c r="B39" s="107"/>
      <c r="C39" s="104"/>
      <c r="D39" s="105" t="s">
        <v>100</v>
      </c>
      <c r="E39" s="106">
        <f>SUM(E34:E38)</f>
        <v>0</v>
      </c>
      <c r="F39" s="106">
        <f t="shared" ref="F39:I39" si="3">SUM(F34:F38)</f>
        <v>0</v>
      </c>
      <c r="G39" s="106">
        <f t="shared" si="3"/>
        <v>0</v>
      </c>
      <c r="H39" s="106">
        <f t="shared" si="3"/>
        <v>366.13</v>
      </c>
      <c r="I39" s="106">
        <f t="shared" si="3"/>
        <v>366.13</v>
      </c>
      <c r="J39" s="149" t="b">
        <f>SUM(E39:H39)=SUM(I34:I38)</f>
        <v>1</v>
      </c>
    </row>
    <row r="40" s="11" customFormat="1" ht="18" customHeight="1" spans="1:10">
      <c r="A40" s="55"/>
      <c r="B40" s="96"/>
      <c r="C40" s="113"/>
      <c r="D40" s="98" t="s">
        <v>101</v>
      </c>
      <c r="E40" s="106">
        <f>E32+E39</f>
        <v>2361.7</v>
      </c>
      <c r="F40" s="106">
        <f>F32+F39</f>
        <v>27.37</v>
      </c>
      <c r="G40" s="106">
        <f>G32+G39</f>
        <v>0</v>
      </c>
      <c r="H40" s="106">
        <f>H32+H39</f>
        <v>380.06</v>
      </c>
      <c r="I40" s="106">
        <f>I32+I39</f>
        <v>2769.13</v>
      </c>
      <c r="J40" s="149" t="b">
        <f>SUM(E40:H40)=I32+I39</f>
        <v>1</v>
      </c>
    </row>
    <row r="41" s="11" customFormat="1" ht="18" customHeight="1" spans="1:10">
      <c r="A41" s="55"/>
      <c r="B41" s="98" t="s">
        <v>102</v>
      </c>
      <c r="C41" s="99"/>
      <c r="D41" s="99"/>
      <c r="E41" s="99"/>
      <c r="F41" s="99"/>
      <c r="G41" s="99"/>
      <c r="H41" s="99"/>
      <c r="I41" s="99"/>
      <c r="J41" s="80"/>
    </row>
    <row r="42" s="11" customFormat="1" ht="45.75" customHeight="1" spans="1:10">
      <c r="A42" s="124">
        <f>ИД!D31%</f>
        <v>0.0214</v>
      </c>
      <c r="B42" s="125">
        <f>B38+1</f>
        <v>10</v>
      </c>
      <c r="C42" s="126" t="str">
        <f>ИД!A31</f>
        <v>Постановление Правительства РФ от 21.06.2010г. №468</v>
      </c>
      <c r="D42" s="111" t="str">
        <f>CONCATENATE(ИД!B31," ","-"," ",ИД!D31,ИД!E31," ","от"," ",ССРбаз!I40)</f>
        <v>Строительный контроль - 2,14% от 2769,13</v>
      </c>
      <c r="E42" s="106"/>
      <c r="F42" s="106"/>
      <c r="G42" s="106"/>
      <c r="H42" s="117">
        <f>I40*$A$42</f>
        <v>59.26</v>
      </c>
      <c r="I42" s="117">
        <f>SUM(E42:H42)</f>
        <v>59.26</v>
      </c>
      <c r="J42" s="80"/>
    </row>
    <row r="43" s="11" customFormat="1" ht="18" customHeight="1" spans="1:10">
      <c r="A43" s="55"/>
      <c r="B43" s="96"/>
      <c r="C43" s="113"/>
      <c r="D43" s="105" t="s">
        <v>103</v>
      </c>
      <c r="E43" s="106"/>
      <c r="F43" s="106"/>
      <c r="G43" s="106"/>
      <c r="H43" s="106">
        <f>SUM(H42:H42)</f>
        <v>59.26</v>
      </c>
      <c r="I43" s="106">
        <f>SUM(I42:I42)</f>
        <v>59.26</v>
      </c>
      <c r="J43" s="80"/>
    </row>
    <row r="44" s="78" customFormat="1" ht="56.1" customHeight="1" spans="1:10">
      <c r="A44" s="127"/>
      <c r="B44" s="98" t="s">
        <v>104</v>
      </c>
      <c r="C44" s="99"/>
      <c r="D44" s="99"/>
      <c r="E44" s="99"/>
      <c r="F44" s="99"/>
      <c r="G44" s="99"/>
      <c r="H44" s="99"/>
      <c r="I44" s="99"/>
      <c r="J44" s="155"/>
    </row>
    <row r="45" s="78" customFormat="1" ht="56.25" customHeight="1" spans="1:10">
      <c r="A45" s="124">
        <v>0.002</v>
      </c>
      <c r="B45" s="125">
        <f>B42+1</f>
        <v>11</v>
      </c>
      <c r="C45" s="115" t="str">
        <f>ИД!A32</f>
        <v>Методика утв. Приказом Минстрой РФ от 04.08.2020г. №421/пр п.173</v>
      </c>
      <c r="D45" s="111" t="str">
        <f>CONCATENATE(ИД!$B$32," - ",ИД!$D$32,ИД!$E$32," от ",I40,"
")</f>
        <v>Авторский надзор  - 0,2% от 2769,13
</v>
      </c>
      <c r="E45" s="128"/>
      <c r="F45" s="128"/>
      <c r="G45" s="128"/>
      <c r="H45" s="117">
        <f>I40*$A$45</f>
        <v>5.54</v>
      </c>
      <c r="I45" s="112">
        <f>SUM(E45:H45)</f>
        <v>5.54</v>
      </c>
      <c r="J45" s="155"/>
    </row>
    <row r="46" s="78" customFormat="1" ht="56.25" customHeight="1" spans="1:10">
      <c r="A46" s="127"/>
      <c r="B46" s="129">
        <f>B45+1</f>
        <v>12</v>
      </c>
      <c r="C46" s="130" t="str">
        <f>ИД!A33</f>
        <v> Смета №1-4</v>
      </c>
      <c r="D46" s="131" t="str">
        <f>CONCATENATE(ИД!B33," ","(",ИД!D33,"/",ИД!E17,")")</f>
        <v>Расчёт стоимости выполнения изыскательских работ (в том числе инженерно-геодезические, инженерно-геологические, гидрометеорологические и экологические изыскания) (223,48/1,266)</v>
      </c>
      <c r="E46" s="132"/>
      <c r="F46" s="132"/>
      <c r="G46" s="132"/>
      <c r="H46" s="133">
        <f>ИД!D33/ИД!E17</f>
        <v>176.52</v>
      </c>
      <c r="I46" s="152">
        <f t="shared" ref="I46:I49" si="4">SUM(E46:H46)</f>
        <v>176.52</v>
      </c>
      <c r="J46" s="155"/>
    </row>
    <row r="47" s="78" customFormat="1" ht="34.5" customHeight="1" spans="1:10">
      <c r="A47" s="127"/>
      <c r="B47" s="129">
        <f>B46+1</f>
        <v>13</v>
      </c>
      <c r="C47" s="130" t="str">
        <f>ИД!A34</f>
        <v>Смета №5</v>
      </c>
      <c r="D47" s="131" t="str">
        <f>CONCATENATE(ИД!B34,"(",ИД!D34,"/",ИД!E18,")")</f>
        <v>Разработка проектной документации(147,26/1,19)</v>
      </c>
      <c r="E47" s="132"/>
      <c r="F47" s="132"/>
      <c r="G47" s="132"/>
      <c r="H47" s="133">
        <f>ИД!D34/ИД!E18</f>
        <v>123.75</v>
      </c>
      <c r="I47" s="152">
        <f t="shared" si="4"/>
        <v>123.75</v>
      </c>
      <c r="J47" s="155"/>
    </row>
    <row r="48" s="78" customFormat="1" ht="30" customHeight="1" spans="1:10">
      <c r="A48" s="127"/>
      <c r="B48" s="129">
        <f>B47+1</f>
        <v>14</v>
      </c>
      <c r="C48" s="130" t="str">
        <f>ИД!A35</f>
        <v>Смета №6</v>
      </c>
      <c r="D48" s="131" t="str">
        <f>CONCATENATE(ИД!B35,"(",ИД!D35,"/",ИД!E18,")")</f>
        <v>Разработка рабочей документации(220,88/1,19)</v>
      </c>
      <c r="E48" s="132"/>
      <c r="F48" s="132"/>
      <c r="G48" s="132"/>
      <c r="H48" s="133">
        <f>ИД!D35/ИД!E18</f>
        <v>185.61</v>
      </c>
      <c r="I48" s="152">
        <f t="shared" si="4"/>
        <v>185.61</v>
      </c>
      <c r="J48" s="155"/>
    </row>
    <row r="49" s="78" customFormat="1" ht="42.75" customHeight="1" spans="1:10">
      <c r="A49" s="127"/>
      <c r="B49" s="129">
        <f>B48+1</f>
        <v>15</v>
      </c>
      <c r="C49" s="130" t="str">
        <f>ИД!A36</f>
        <v>Постановление Правительства РФ №145от 05.03.2007г.</v>
      </c>
      <c r="D49" s="131" t="str">
        <f>CONCATENATE(ИД!B36,"(",ИД!D33,"/",ИД!E17,"+",ИД!D34,"/",ИД!E18,")","*",0.273)</f>
        <v>Проведение государственной экспертизы по объекту(223,48/1,266+147,26/1,19)*0,273</v>
      </c>
      <c r="E49" s="132"/>
      <c r="F49" s="132"/>
      <c r="G49" s="132"/>
      <c r="H49" s="133">
        <f>(ИД!D33/ИД!E17+ИД!D34/ИД!E18)*0.273</f>
        <v>81.97</v>
      </c>
      <c r="I49" s="152">
        <f t="shared" si="4"/>
        <v>81.97</v>
      </c>
      <c r="J49" s="155"/>
    </row>
    <row r="50" s="11" customFormat="1" ht="18" customHeight="1" spans="1:10">
      <c r="A50" s="55"/>
      <c r="B50" s="96"/>
      <c r="C50" s="113"/>
      <c r="D50" s="105" t="s">
        <v>105</v>
      </c>
      <c r="E50" s="106">
        <f>SUM(E45:E49)</f>
        <v>0</v>
      </c>
      <c r="F50" s="106">
        <f>SUM(F45:F49)</f>
        <v>0</v>
      </c>
      <c r="G50" s="106">
        <f>SUM(G45:G49)</f>
        <v>0</v>
      </c>
      <c r="H50" s="106">
        <f>SUM(H45:H49)</f>
        <v>573.39</v>
      </c>
      <c r="I50" s="106">
        <f>SUM(I45:I49)</f>
        <v>573.39</v>
      </c>
      <c r="J50" s="149" t="b">
        <f>SUM(E50:H50)=SUM(I45:I49)</f>
        <v>1</v>
      </c>
    </row>
    <row r="51" s="11" customFormat="1" ht="18" customHeight="1" spans="1:10">
      <c r="A51" s="55"/>
      <c r="B51" s="96"/>
      <c r="C51" s="113"/>
      <c r="D51" s="98" t="s">
        <v>106</v>
      </c>
      <c r="E51" s="106">
        <f>E40+E43+E50</f>
        <v>2361.7</v>
      </c>
      <c r="F51" s="106">
        <f>F40+F43+F50</f>
        <v>27.37</v>
      </c>
      <c r="G51" s="106">
        <f>G40+G43+G50</f>
        <v>0</v>
      </c>
      <c r="H51" s="106">
        <f>H40+H43+H50</f>
        <v>1012.71</v>
      </c>
      <c r="I51" s="106">
        <f>I40+I43+I50</f>
        <v>3401.78</v>
      </c>
      <c r="J51" s="149" t="b">
        <f>SUM(E51:H51)=I40+I43+I50</f>
        <v>1</v>
      </c>
    </row>
    <row r="52" s="11" customFormat="1" customHeight="1" spans="1:10">
      <c r="A52" s="55"/>
      <c r="B52" s="98" t="s">
        <v>107</v>
      </c>
      <c r="C52" s="99"/>
      <c r="D52" s="99"/>
      <c r="E52" s="99"/>
      <c r="F52" s="99"/>
      <c r="G52" s="99"/>
      <c r="H52" s="99"/>
      <c r="I52" s="99"/>
      <c r="J52" s="80"/>
    </row>
    <row r="53" s="11" customFormat="1" ht="51" spans="1:9">
      <c r="A53" s="134">
        <v>0.03</v>
      </c>
      <c r="B53" s="101">
        <f>B49+1</f>
        <v>16</v>
      </c>
      <c r="C53" s="103" t="str">
        <f>ИД!A37</f>
        <v>Методика утв. Приказом Минстрой РФ от 04.08.2020г. №421/пр п.179</v>
      </c>
      <c r="D53" s="99" t="s">
        <v>108</v>
      </c>
      <c r="E53" s="102">
        <f>E51*$A$53</f>
        <v>70.85</v>
      </c>
      <c r="F53" s="102">
        <f t="shared" ref="F53:H53" si="5">F51*$A$53</f>
        <v>0.82</v>
      </c>
      <c r="G53" s="102">
        <f t="shared" si="5"/>
        <v>0</v>
      </c>
      <c r="H53" s="102">
        <f t="shared" si="5"/>
        <v>30.38</v>
      </c>
      <c r="I53" s="102">
        <f>SUM(E53:H53)</f>
        <v>102.05</v>
      </c>
    </row>
    <row r="54" s="11" customFormat="1" ht="26.25" customHeight="1" spans="1:10">
      <c r="A54" s="55"/>
      <c r="B54" s="135"/>
      <c r="C54" s="135"/>
      <c r="D54" s="98" t="s">
        <v>109</v>
      </c>
      <c r="E54" s="106">
        <f>E51+E53</f>
        <v>2432.55</v>
      </c>
      <c r="F54" s="106">
        <f>F51+F53</f>
        <v>28.19</v>
      </c>
      <c r="G54" s="106">
        <f>G51+G53</f>
        <v>0</v>
      </c>
      <c r="H54" s="106">
        <f>H51+H53</f>
        <v>1043.09</v>
      </c>
      <c r="I54" s="106">
        <f>I51+I53</f>
        <v>3503.83</v>
      </c>
      <c r="J54" s="149" t="b">
        <f>SUM(E54:H54)=I51+I53</f>
        <v>1</v>
      </c>
    </row>
    <row r="55" s="79" customFormat="1" ht="18" customHeight="1" spans="2:10">
      <c r="B55" s="136"/>
      <c r="C55" s="136"/>
      <c r="D55" s="137" t="s">
        <v>159</v>
      </c>
      <c r="E55" s="136"/>
      <c r="F55" s="136"/>
      <c r="G55" s="136"/>
      <c r="H55" s="136"/>
      <c r="I55" s="156">
        <f>ИД!D40</f>
        <v>11.94</v>
      </c>
      <c r="J55" s="157"/>
    </row>
    <row r="56" spans="2:9">
      <c r="B56" s="138"/>
      <c r="C56" s="138"/>
      <c r="D56" s="139" t="s">
        <v>114</v>
      </c>
      <c r="E56" s="140"/>
      <c r="F56" s="140"/>
      <c r="G56" s="140"/>
      <c r="H56" s="140"/>
      <c r="I56" s="158">
        <f>H46+H47+H48</f>
        <v>485.88</v>
      </c>
    </row>
    <row r="57" spans="2:9">
      <c r="B57" s="141"/>
      <c r="C57" s="141"/>
      <c r="D57" s="142"/>
      <c r="E57" s="143"/>
      <c r="F57" s="143"/>
      <c r="G57" s="143"/>
      <c r="H57" s="143"/>
      <c r="I57" s="159"/>
    </row>
    <row r="59" spans="3:9">
      <c r="C59" s="144" t="str">
        <f>ССРтек!C61</f>
        <v>Генеральный директор  ООО "ИВЦ "Энергоактив""</v>
      </c>
      <c r="D59" s="145"/>
      <c r="E59" s="146"/>
      <c r="F59" s="146"/>
      <c r="G59" s="146"/>
      <c r="H59" s="83" t="str">
        <f>ИД!$B$6</f>
        <v>С.В. Лопашук</v>
      </c>
      <c r="I59" s="145"/>
    </row>
    <row r="60" spans="3:9">
      <c r="C60" s="82"/>
      <c r="D60" s="83"/>
      <c r="E60" s="90"/>
      <c r="F60" s="90"/>
      <c r="G60" s="90"/>
      <c r="H60" s="83"/>
      <c r="I60" s="90"/>
    </row>
    <row r="61" spans="3:9">
      <c r="C61" s="82"/>
      <c r="D61" s="83"/>
      <c r="E61" s="90"/>
      <c r="F61" s="90"/>
      <c r="G61" s="90"/>
      <c r="H61" s="83"/>
      <c r="I61" s="90"/>
    </row>
    <row r="62" spans="3:9">
      <c r="C62" s="144" t="str">
        <f>ССРтек!C64</f>
        <v>Главный инженер проекта ООО "ИВЦ "Энергоактив""</v>
      </c>
      <c r="D62" s="145"/>
      <c r="E62" s="146"/>
      <c r="F62" s="146"/>
      <c r="G62" s="146"/>
      <c r="H62" s="26" t="str">
        <f>ИД!B7</f>
        <v>Н.В.Петров</v>
      </c>
      <c r="I62" s="145"/>
    </row>
    <row r="63" spans="3:9">
      <c r="C63" s="82"/>
      <c r="D63" s="83"/>
      <c r="E63" s="90"/>
      <c r="F63" s="90"/>
      <c r="G63" s="90"/>
      <c r="H63" s="83"/>
      <c r="I63" s="90"/>
    </row>
    <row r="64" spans="3:9">
      <c r="C64" s="82"/>
      <c r="D64" s="83"/>
      <c r="E64" s="90"/>
      <c r="F64" s="90"/>
      <c r="G64" s="90"/>
      <c r="H64" s="83"/>
      <c r="I64" s="90"/>
    </row>
    <row r="65" spans="3:9">
      <c r="C65" s="82" t="s">
        <v>115</v>
      </c>
      <c r="D65" s="83"/>
      <c r="E65" s="160"/>
      <c r="F65" s="160"/>
      <c r="G65" s="160"/>
      <c r="H65" s="83"/>
      <c r="I65" s="90"/>
    </row>
    <row r="66" ht="18.75" customHeight="1" spans="3:9">
      <c r="C66" s="161"/>
      <c r="D66" s="161"/>
      <c r="E66" s="162"/>
      <c r="F66" s="162"/>
      <c r="G66" s="162"/>
      <c r="H66" s="163"/>
      <c r="I66" s="90"/>
    </row>
  </sheetData>
  <mergeCells count="24">
    <mergeCell ref="D2:H2"/>
    <mergeCell ref="D3:H3"/>
    <mergeCell ref="D7:H7"/>
    <mergeCell ref="D8:H8"/>
    <mergeCell ref="D10:H10"/>
    <mergeCell ref="D12:H12"/>
    <mergeCell ref="D13:H13"/>
    <mergeCell ref="B14:I14"/>
    <mergeCell ref="E15:I15"/>
    <mergeCell ref="B18:I18"/>
    <mergeCell ref="B22:I22"/>
    <mergeCell ref="B25:I25"/>
    <mergeCell ref="B29:I29"/>
    <mergeCell ref="B33:I33"/>
    <mergeCell ref="B41:I41"/>
    <mergeCell ref="B44:I44"/>
    <mergeCell ref="B52:I52"/>
    <mergeCell ref="E59:G59"/>
    <mergeCell ref="E62:G62"/>
    <mergeCell ref="C66:D66"/>
    <mergeCell ref="E66:G66"/>
    <mergeCell ref="B15:B16"/>
    <mergeCell ref="C15:C16"/>
    <mergeCell ref="D15:D16"/>
  </mergeCells>
  <printOptions horizontalCentered="1"/>
  <pageMargins left="0.196850393700787" right="0.196850393700787" top="0.196850393700787" bottom="0.196850393700787" header="0.31496062992126" footer="0.31496062992126"/>
  <pageSetup paperSize="9" scale="95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showZeros="0" view="pageBreakPreview" zoomScaleNormal="100" workbookViewId="0">
      <selection activeCell="E22" sqref="E22"/>
    </sheetView>
  </sheetViews>
  <sheetFormatPr defaultColWidth="9" defaultRowHeight="15"/>
  <cols>
    <col min="1" max="1" width="7.57142857142857" style="67" customWidth="1"/>
    <col min="2" max="2" width="5.71428571428571" style="13" customWidth="1"/>
    <col min="3" max="3" width="15.7142857142857" style="31" customWidth="1"/>
    <col min="4" max="4" width="39.7142857142857" style="13" customWidth="1"/>
    <col min="5" max="5" width="16.2857142857143" style="13" customWidth="1"/>
    <col min="6" max="6" width="11.7142857142857" style="13" customWidth="1"/>
    <col min="7" max="8" width="12.7142857142857" style="13" customWidth="1"/>
    <col min="9" max="9" width="14.7142857142857" style="13" customWidth="1"/>
    <col min="10" max="16384" width="9.14285714285714" style="13"/>
  </cols>
  <sheetData>
    <row r="1" ht="30.75" customHeight="1" spans="2:9">
      <c r="B1" s="14" t="str">
        <f>CONCATENATE(ИД!$B$10,ИД!$C$11)</f>
        <v>«Реконструкция распределительных и квартальных тепловых сетей г. Благовещенска Амурской области» Объект 2: Тепловые сети в 400 квартале от ТК-7С до ТК-64 м, L = 449,69 м, D = 325 мм.</v>
      </c>
      <c r="C1" s="14"/>
      <c r="D1" s="14"/>
      <c r="E1" s="14"/>
      <c r="F1" s="14"/>
      <c r="G1" s="14"/>
      <c r="H1" s="14"/>
      <c r="I1" s="14"/>
    </row>
    <row r="2" s="66" customFormat="1" spans="1:9">
      <c r="A2" s="68"/>
      <c r="B2" s="15" t="s">
        <v>79</v>
      </c>
      <c r="C2" s="15"/>
      <c r="D2" s="15"/>
      <c r="E2" s="15"/>
      <c r="F2" s="15"/>
      <c r="G2" s="15"/>
      <c r="H2" s="15"/>
      <c r="I2" s="15"/>
    </row>
    <row r="4" ht="15.75" spans="2:9">
      <c r="B4" s="16" t="s">
        <v>116</v>
      </c>
      <c r="C4" s="16"/>
      <c r="D4" s="16"/>
      <c r="E4" s="16"/>
      <c r="F4" s="16"/>
      <c r="G4" s="16"/>
      <c r="H4" s="16"/>
      <c r="I4" s="16"/>
    </row>
    <row r="5" ht="15.75" spans="2:9">
      <c r="B5" s="16" t="s">
        <v>160</v>
      </c>
      <c r="C5" s="16"/>
      <c r="D5" s="16"/>
      <c r="E5" s="16"/>
      <c r="F5" s="16"/>
      <c r="G5" s="16"/>
      <c r="H5" s="16"/>
      <c r="I5" s="16"/>
    </row>
    <row r="6" ht="15.75" spans="2:9">
      <c r="B6" s="16"/>
      <c r="C6" s="16"/>
      <c r="D6" s="16"/>
      <c r="E6" s="16"/>
      <c r="F6" s="16"/>
      <c r="G6" s="16"/>
      <c r="H6" s="16"/>
      <c r="I6" s="16"/>
    </row>
    <row r="7" s="7" customFormat="1" ht="13.5" spans="1:9">
      <c r="A7" s="69"/>
      <c r="B7" s="18"/>
      <c r="C7" s="18"/>
      <c r="D7" s="19" t="s">
        <v>117</v>
      </c>
      <c r="E7" s="19"/>
      <c r="F7" s="19"/>
      <c r="G7" s="19"/>
      <c r="H7" s="19"/>
      <c r="I7" s="18"/>
    </row>
    <row r="8" s="7" customFormat="1" ht="13.5" spans="1:9">
      <c r="A8" s="69"/>
      <c r="B8" s="20"/>
      <c r="C8" s="20"/>
      <c r="D8" s="21"/>
      <c r="E8" s="20"/>
      <c r="F8" s="20"/>
      <c r="G8" s="20"/>
      <c r="H8" s="20"/>
      <c r="I8" s="20"/>
    </row>
    <row r="9" s="7" customFormat="1" customHeight="1" spans="1:9">
      <c r="A9" s="69"/>
      <c r="B9" s="20"/>
      <c r="C9" s="18"/>
      <c r="D9" s="22" t="s">
        <v>118</v>
      </c>
      <c r="E9" s="22"/>
      <c r="F9" s="22"/>
      <c r="G9" s="22"/>
      <c r="H9" s="23">
        <f>I25</f>
        <v>0.73</v>
      </c>
      <c r="I9" s="64" t="s">
        <v>119</v>
      </c>
    </row>
    <row r="10" s="7" customFormat="1" ht="36" customHeight="1" spans="1:9">
      <c r="A10" s="69"/>
      <c r="B10" s="20"/>
      <c r="C10" s="18"/>
      <c r="D10" s="24" t="s">
        <v>120</v>
      </c>
      <c r="E10" s="24"/>
      <c r="F10" s="24"/>
      <c r="G10" s="24"/>
      <c r="H10" s="70">
        <f>ИД!F23</f>
        <v>0.471</v>
      </c>
      <c r="I10" s="19" t="str">
        <f>'ОС-01-01тек'!I10</f>
        <v>км</v>
      </c>
    </row>
    <row r="11" s="7" customFormat="1" ht="36" customHeight="1" spans="1:9">
      <c r="A11" s="69"/>
      <c r="B11" s="20"/>
      <c r="C11" s="18"/>
      <c r="D11" s="24" t="s">
        <v>122</v>
      </c>
      <c r="E11" s="24"/>
      <c r="F11" s="24"/>
      <c r="G11" s="24"/>
      <c r="H11" s="25">
        <f>H9/H10*1000</f>
        <v>1549.89</v>
      </c>
      <c r="I11" s="19" t="s">
        <v>123</v>
      </c>
    </row>
    <row r="12" s="8" customFormat="1" ht="13.5" spans="1:9">
      <c r="A12" s="71"/>
      <c r="B12" s="27"/>
      <c r="C12" s="27"/>
      <c r="D12" s="27"/>
      <c r="E12" s="27"/>
      <c r="F12" s="27"/>
      <c r="G12" s="28"/>
      <c r="H12" s="27"/>
      <c r="I12" s="27"/>
    </row>
    <row r="13" s="8" customFormat="1" ht="13.5" spans="1:9">
      <c r="A13" s="71"/>
      <c r="C13" s="28"/>
      <c r="D13" s="29" t="s">
        <v>152</v>
      </c>
      <c r="E13" s="29"/>
      <c r="F13" s="29"/>
      <c r="G13" s="29"/>
      <c r="H13" s="29"/>
      <c r="I13" s="29"/>
    </row>
    <row r="14" ht="15.75" spans="2:9">
      <c r="B14" s="16"/>
      <c r="C14" s="16"/>
      <c r="D14" s="30"/>
      <c r="E14" s="30"/>
      <c r="F14" s="30"/>
      <c r="G14" s="31"/>
      <c r="H14" s="32"/>
      <c r="I14" s="16"/>
    </row>
    <row r="15" customHeight="1" spans="2:9">
      <c r="B15" s="33" t="s">
        <v>125</v>
      </c>
      <c r="C15" s="33" t="s">
        <v>81</v>
      </c>
      <c r="D15" s="33" t="s">
        <v>126</v>
      </c>
      <c r="E15" s="33" t="s">
        <v>127</v>
      </c>
      <c r="F15" s="33"/>
      <c r="G15" s="33"/>
      <c r="H15" s="33"/>
      <c r="I15" s="33"/>
    </row>
    <row r="16" ht="88.5" customHeight="1" spans="2:9">
      <c r="B16" s="33"/>
      <c r="C16" s="33"/>
      <c r="D16" s="33"/>
      <c r="E16" s="34" t="s">
        <v>128</v>
      </c>
      <c r="F16" s="33" t="s">
        <v>85</v>
      </c>
      <c r="G16" s="33" t="s">
        <v>86</v>
      </c>
      <c r="H16" s="33" t="s">
        <v>129</v>
      </c>
      <c r="I16" s="33" t="s">
        <v>88</v>
      </c>
    </row>
    <row r="17" spans="2:9">
      <c r="B17" s="35" t="s">
        <v>130</v>
      </c>
      <c r="C17" s="35" t="s">
        <v>131</v>
      </c>
      <c r="D17" s="35" t="s">
        <v>132</v>
      </c>
      <c r="E17" s="35" t="s">
        <v>133</v>
      </c>
      <c r="F17" s="35" t="s">
        <v>134</v>
      </c>
      <c r="G17" s="35" t="s">
        <v>135</v>
      </c>
      <c r="H17" s="35" t="s">
        <v>136</v>
      </c>
      <c r="I17" s="35" t="s">
        <v>137</v>
      </c>
    </row>
    <row r="18" s="10" customFormat="1" ht="32.25" customHeight="1" spans="1:9">
      <c r="A18" s="72"/>
      <c r="B18" s="36">
        <v>1</v>
      </c>
      <c r="C18" s="36" t="s">
        <v>161</v>
      </c>
      <c r="D18" s="73" t="s">
        <v>162</v>
      </c>
      <c r="E18" s="47">
        <v>0.1</v>
      </c>
      <c r="F18" s="47"/>
      <c r="G18" s="47"/>
      <c r="H18" s="47"/>
      <c r="I18" s="77">
        <f>SUM(E18:H18)</f>
        <v>0.1</v>
      </c>
    </row>
    <row r="19" s="10" customFormat="1" ht="27.75" customHeight="1" spans="1:9">
      <c r="A19" s="72"/>
      <c r="B19" s="36">
        <f>B18+1</f>
        <v>2</v>
      </c>
      <c r="C19" s="36" t="s">
        <v>163</v>
      </c>
      <c r="D19" s="73" t="s">
        <v>164</v>
      </c>
      <c r="E19" s="47">
        <v>22.9</v>
      </c>
      <c r="F19" s="47"/>
      <c r="G19" s="47"/>
      <c r="H19" s="47"/>
      <c r="I19" s="77">
        <f>SUM(E19:H19)</f>
        <v>22.9</v>
      </c>
    </row>
    <row r="20" s="10" customFormat="1" ht="27.75" customHeight="1" spans="1:9">
      <c r="A20" s="72"/>
      <c r="B20" s="36">
        <f>B19+1</f>
        <v>3</v>
      </c>
      <c r="C20" s="36" t="s">
        <v>165</v>
      </c>
      <c r="D20" s="73" t="s">
        <v>166</v>
      </c>
      <c r="E20" s="47">
        <v>0.87</v>
      </c>
      <c r="F20" s="47"/>
      <c r="G20" s="47"/>
      <c r="H20" s="47"/>
      <c r="I20" s="77">
        <f>SUM(E20:H20)</f>
        <v>0.87</v>
      </c>
    </row>
    <row r="21" s="10" customFormat="1" ht="20.1" customHeight="1" spans="1:9">
      <c r="A21" s="67"/>
      <c r="B21" s="44"/>
      <c r="C21" s="56"/>
      <c r="D21" s="50" t="s">
        <v>138</v>
      </c>
      <c r="E21" s="48">
        <f>SUM(E18:E20)</f>
        <v>23.87</v>
      </c>
      <c r="F21" s="48">
        <f t="shared" ref="F21:I21" si="0">SUM(F18:F20)</f>
        <v>0</v>
      </c>
      <c r="G21" s="48">
        <f t="shared" si="0"/>
        <v>0</v>
      </c>
      <c r="H21" s="48">
        <f t="shared" si="0"/>
        <v>0</v>
      </c>
      <c r="I21" s="48">
        <f t="shared" si="0"/>
        <v>23.87</v>
      </c>
    </row>
    <row r="22" s="10" customFormat="1" ht="96" customHeight="1" spans="1:9">
      <c r="A22" s="43">
        <f>ИД!$G$25%</f>
        <v>0.0192</v>
      </c>
      <c r="B22" s="44">
        <f>B20+1</f>
        <v>4</v>
      </c>
      <c r="C22" s="52" t="str">
        <f>ИД!$A$25</f>
        <v>Методика утв. Приказом Минстрой РФ от 19.06.20г. №332/пр, Приложение 1, п.53</v>
      </c>
      <c r="D22" s="46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2" s="47">
        <f>E21*A22</f>
        <v>0.46</v>
      </c>
      <c r="F22" s="47"/>
      <c r="G22" s="48"/>
      <c r="H22" s="48"/>
      <c r="I22" s="47">
        <f>SUM(E22:H22)</f>
        <v>0.46</v>
      </c>
    </row>
    <row r="23" s="10" customFormat="1" ht="20.1" customHeight="1" spans="1:9">
      <c r="A23" s="67"/>
      <c r="B23" s="49"/>
      <c r="C23" s="49"/>
      <c r="D23" s="50" t="s">
        <v>138</v>
      </c>
      <c r="E23" s="48">
        <f>SUM(E21:E22)</f>
        <v>24.33</v>
      </c>
      <c r="F23" s="48">
        <f t="shared" ref="F23:I23" si="1">SUM(F21:F22)</f>
        <v>0</v>
      </c>
      <c r="G23" s="48">
        <f t="shared" si="1"/>
        <v>0</v>
      </c>
      <c r="H23" s="48">
        <f t="shared" si="1"/>
        <v>0</v>
      </c>
      <c r="I23" s="48">
        <f t="shared" si="1"/>
        <v>24.33</v>
      </c>
    </row>
    <row r="24" s="10" customFormat="1" ht="67.5" spans="1:9">
      <c r="A24" s="74">
        <f>ИД!$E$37</f>
        <v>0.03</v>
      </c>
      <c r="B24" s="44">
        <f>B22+1</f>
        <v>5</v>
      </c>
      <c r="C24" s="52" t="str">
        <f>ИД!$A$37</f>
        <v>Методика утв. Приказом Минстрой РФ от 04.08.2020г. №421/пр п.179</v>
      </c>
      <c r="D24" s="46" t="str">
        <f>CONCATENATE(ИД!$B$37," - ","1,5%",)</f>
        <v>Непредвиденные работы и затраты - 1,5%</v>
      </c>
      <c r="E24" s="47">
        <f>E23*A24</f>
        <v>0.73</v>
      </c>
      <c r="F24" s="47">
        <f>F23*A24</f>
        <v>0</v>
      </c>
      <c r="G24" s="47"/>
      <c r="H24" s="47"/>
      <c r="I24" s="47">
        <f>SUM(E24:H24)</f>
        <v>0.73</v>
      </c>
    </row>
    <row r="25" s="10" customFormat="1" ht="20.1" customHeight="1" spans="1:9">
      <c r="A25" s="67"/>
      <c r="B25" s="57"/>
      <c r="C25" s="75"/>
      <c r="D25" s="57" t="s">
        <v>139</v>
      </c>
      <c r="E25" s="48">
        <f>SUM(E24:E24)</f>
        <v>0.73</v>
      </c>
      <c r="F25" s="48">
        <f>SUM(F24:F24)</f>
        <v>0</v>
      </c>
      <c r="G25" s="48">
        <f>SUM(G24:G24)</f>
        <v>0</v>
      </c>
      <c r="H25" s="48">
        <f>SUM(H24:H24)</f>
        <v>0</v>
      </c>
      <c r="I25" s="48">
        <f>SUM(I24:I24)</f>
        <v>0.73</v>
      </c>
    </row>
    <row r="27" s="12" customFormat="1" spans="1:3">
      <c r="A27" s="71"/>
      <c r="C27" s="76"/>
    </row>
    <row r="28" s="12" customFormat="1" spans="1:7">
      <c r="A28" s="71"/>
      <c r="C28" s="76"/>
      <c r="D28" s="59" t="s">
        <v>10</v>
      </c>
      <c r="G28" s="12" t="str">
        <f>ИД!B7</f>
        <v>Н.В.Петров</v>
      </c>
    </row>
    <row r="29" s="12" customFormat="1" spans="1:4">
      <c r="A29" s="71"/>
      <c r="C29" s="76"/>
      <c r="D29" s="60"/>
    </row>
    <row r="30" s="12" customFormat="1" spans="1:7">
      <c r="A30" s="71"/>
      <c r="C30" s="76"/>
      <c r="D30" s="61" t="str">
        <f>ИД!$A$8</f>
        <v>Составил</v>
      </c>
      <c r="G30" s="12" t="str">
        <f>ИД!$B$8</f>
        <v>А.В.Исаев</v>
      </c>
    </row>
    <row r="31" s="12" customFormat="1" spans="1:4">
      <c r="A31" s="71"/>
      <c r="C31" s="76"/>
      <c r="D31" s="61"/>
    </row>
    <row r="32" s="12" customFormat="1" spans="1:7">
      <c r="A32" s="71"/>
      <c r="C32" s="76"/>
      <c r="D32" s="61" t="str">
        <f>ИД!$A$9</f>
        <v>Проверил</v>
      </c>
      <c r="E32" s="62"/>
      <c r="G32" s="12" t="str">
        <f>ИД!$B$9</f>
        <v>Н.В.Петров</v>
      </c>
    </row>
    <row r="33" s="12" customFormat="1" spans="1:4">
      <c r="A33" s="71"/>
      <c r="C33" s="76"/>
      <c r="D33" s="63"/>
    </row>
    <row r="34" s="12" customFormat="1" spans="1:3">
      <c r="A34" s="71"/>
      <c r="C34" s="76"/>
    </row>
  </sheetData>
  <mergeCells count="12">
    <mergeCell ref="B1:I1"/>
    <mergeCell ref="B2:I2"/>
    <mergeCell ref="B4:I4"/>
    <mergeCell ref="B5:I5"/>
    <mergeCell ref="D7:H7"/>
    <mergeCell ref="D9:G9"/>
    <mergeCell ref="D10:G10"/>
    <mergeCell ref="D11:G11"/>
    <mergeCell ref="E15:I15"/>
    <mergeCell ref="B15:B16"/>
    <mergeCell ref="C15:C16"/>
    <mergeCell ref="D15:D16"/>
  </mergeCells>
  <printOptions horizontalCentered="1"/>
  <pageMargins left="0.511811023622047" right="0.196850393700787" top="0.393700787401575" bottom="0.196850393700787" header="0.31496062992126" footer="0.31496062992126"/>
  <pageSetup paperSize="9" scale="74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Zeros="0" view="pageBreakPreview" zoomScaleNormal="100" workbookViewId="0">
      <selection activeCell="K21" sqref="K21"/>
    </sheetView>
  </sheetViews>
  <sheetFormatPr defaultColWidth="9" defaultRowHeight="15"/>
  <cols>
    <col min="1" max="1" width="7" style="11" customWidth="1"/>
    <col min="2" max="2" width="5.71428571428571" style="13" customWidth="1"/>
    <col min="3" max="3" width="15.7142857142857" style="13" customWidth="1"/>
    <col min="4" max="4" width="39.7142857142857" style="13" customWidth="1"/>
    <col min="5" max="5" width="16.2857142857143" style="13" customWidth="1"/>
    <col min="6" max="6" width="11.7142857142857" style="13" customWidth="1"/>
    <col min="7" max="8" width="12.7142857142857" style="13" customWidth="1"/>
    <col min="9" max="9" width="14.7142857142857" style="13" customWidth="1"/>
    <col min="10" max="16384" width="9.14285714285714" style="13"/>
  </cols>
  <sheetData>
    <row r="1" spans="2:9">
      <c r="B1" s="14" t="str">
        <f>CONCATENATE(ИД!$B$10,ИД!$C$11)</f>
        <v>«Реконструкция распределительных и квартальных тепловых сетей г. Благовещенска Амурской области» Объект 2: Тепловые сети в 400 квартале от ТК-7С до ТК-64 м, L = 449,69 м, D = 325 мм.</v>
      </c>
      <c r="C1" s="14"/>
      <c r="D1" s="14"/>
      <c r="E1" s="14"/>
      <c r="F1" s="14"/>
      <c r="G1" s="14"/>
      <c r="H1" s="14"/>
      <c r="I1" s="14"/>
    </row>
    <row r="2" spans="2:9">
      <c r="B2" s="15" t="s">
        <v>79</v>
      </c>
      <c r="C2" s="15"/>
      <c r="D2" s="15"/>
      <c r="E2" s="15"/>
      <c r="F2" s="15"/>
      <c r="G2" s="15"/>
      <c r="H2" s="15"/>
      <c r="I2" s="15"/>
    </row>
    <row r="4" ht="15.75" spans="2:9">
      <c r="B4" s="16" t="s">
        <v>140</v>
      </c>
      <c r="C4" s="16"/>
      <c r="D4" s="16"/>
      <c r="E4" s="16"/>
      <c r="F4" s="16"/>
      <c r="G4" s="16"/>
      <c r="H4" s="16"/>
      <c r="I4" s="16"/>
    </row>
    <row r="5" ht="15.75" spans="2:9">
      <c r="B5" s="16" t="s">
        <v>167</v>
      </c>
      <c r="C5" s="16"/>
      <c r="D5" s="16"/>
      <c r="E5" s="16"/>
      <c r="F5" s="16"/>
      <c r="G5" s="16"/>
      <c r="H5" s="16"/>
      <c r="I5" s="16"/>
    </row>
    <row r="6" ht="15.75" spans="2:9">
      <c r="B6" s="16"/>
      <c r="C6" s="16"/>
      <c r="D6" s="16"/>
      <c r="E6" s="16"/>
      <c r="F6" s="16"/>
      <c r="G6" s="16"/>
      <c r="H6" s="16"/>
      <c r="I6" s="16"/>
    </row>
    <row r="7" s="7" customFormat="1" ht="13.5" spans="1:9">
      <c r="A7" s="17"/>
      <c r="B7" s="18"/>
      <c r="C7" s="18"/>
      <c r="D7" s="19" t="s">
        <v>117</v>
      </c>
      <c r="E7" s="19"/>
      <c r="F7" s="19"/>
      <c r="G7" s="19"/>
      <c r="H7" s="19"/>
      <c r="I7" s="18"/>
    </row>
    <row r="8" s="7" customFormat="1" ht="13.5" spans="1:9">
      <c r="A8" s="17"/>
      <c r="B8" s="20"/>
      <c r="C8" s="20"/>
      <c r="D8" s="21"/>
      <c r="E8" s="20"/>
      <c r="F8" s="20"/>
      <c r="G8" s="20"/>
      <c r="H8" s="20"/>
      <c r="I8" s="20"/>
    </row>
    <row r="9" s="7" customFormat="1" customHeight="1" spans="1:9">
      <c r="A9" s="17"/>
      <c r="B9" s="20"/>
      <c r="C9" s="18"/>
      <c r="D9" s="22" t="s">
        <v>118</v>
      </c>
      <c r="E9" s="22"/>
      <c r="F9" s="22"/>
      <c r="G9" s="22"/>
      <c r="H9" s="23">
        <f>I28</f>
        <v>0</v>
      </c>
      <c r="I9" s="64" t="s">
        <v>119</v>
      </c>
    </row>
    <row r="10" s="7" customFormat="1" ht="32.1" customHeight="1" spans="1:9">
      <c r="A10" s="17"/>
      <c r="B10" s="20"/>
      <c r="C10" s="18"/>
      <c r="D10" s="24" t="s">
        <v>120</v>
      </c>
      <c r="E10" s="24"/>
      <c r="F10" s="24"/>
      <c r="G10" s="24"/>
      <c r="H10" s="25" t="e">
        <f>ИД!#REF!</f>
        <v>#REF!</v>
      </c>
      <c r="I10" s="65" t="e">
        <f>ИД!#REF!</f>
        <v>#REF!</v>
      </c>
    </row>
    <row r="11" s="7" customFormat="1" ht="32.1" customHeight="1" spans="1:9">
      <c r="A11" s="17"/>
      <c r="B11" s="20"/>
      <c r="C11" s="18"/>
      <c r="D11" s="24" t="s">
        <v>122</v>
      </c>
      <c r="E11" s="24"/>
      <c r="F11" s="24"/>
      <c r="G11" s="24"/>
      <c r="H11" s="25" t="e">
        <f>H9/H10*1000</f>
        <v>#REF!</v>
      </c>
      <c r="I11" s="19" t="s">
        <v>123</v>
      </c>
    </row>
    <row r="12" s="8" customFormat="1" ht="13.5" spans="1:9">
      <c r="A12" s="26"/>
      <c r="B12" s="27"/>
      <c r="C12" s="27"/>
      <c r="D12" s="27"/>
      <c r="E12" s="27"/>
      <c r="F12" s="27"/>
      <c r="G12" s="28"/>
      <c r="H12" s="27"/>
      <c r="I12" s="27"/>
    </row>
    <row r="13" s="8" customFormat="1" ht="13.5" spans="1:9">
      <c r="A13" s="26"/>
      <c r="C13" s="28"/>
      <c r="D13" s="29" t="s">
        <v>152</v>
      </c>
      <c r="E13" s="29"/>
      <c r="F13" s="29"/>
      <c r="G13" s="29"/>
      <c r="H13" s="29"/>
      <c r="I13" s="29"/>
    </row>
    <row r="14" ht="15.75" spans="2:9">
      <c r="B14" s="16"/>
      <c r="C14" s="16"/>
      <c r="D14" s="30"/>
      <c r="E14" s="30"/>
      <c r="F14" s="30"/>
      <c r="G14" s="31"/>
      <c r="H14" s="32"/>
      <c r="I14" s="16"/>
    </row>
    <row r="15" customHeight="1" spans="2:9">
      <c r="B15" s="33" t="s">
        <v>125</v>
      </c>
      <c r="C15" s="33" t="s">
        <v>81</v>
      </c>
      <c r="D15" s="33" t="s">
        <v>126</v>
      </c>
      <c r="E15" s="33" t="s">
        <v>127</v>
      </c>
      <c r="F15" s="33"/>
      <c r="G15" s="33"/>
      <c r="H15" s="33"/>
      <c r="I15" s="33"/>
    </row>
    <row r="16" ht="85.5" customHeight="1" spans="2:9">
      <c r="B16" s="33"/>
      <c r="C16" s="33"/>
      <c r="D16" s="33"/>
      <c r="E16" s="34" t="s">
        <v>128</v>
      </c>
      <c r="F16" s="33" t="s">
        <v>85</v>
      </c>
      <c r="G16" s="33" t="s">
        <v>86</v>
      </c>
      <c r="H16" s="33" t="s">
        <v>129</v>
      </c>
      <c r="I16" s="33" t="s">
        <v>88</v>
      </c>
    </row>
    <row r="17" spans="2:9">
      <c r="B17" s="35" t="s">
        <v>130</v>
      </c>
      <c r="C17" s="35" t="s">
        <v>131</v>
      </c>
      <c r="D17" s="35" t="s">
        <v>132</v>
      </c>
      <c r="E17" s="35" t="s">
        <v>133</v>
      </c>
      <c r="F17" s="35" t="s">
        <v>134</v>
      </c>
      <c r="G17" s="35" t="s">
        <v>135</v>
      </c>
      <c r="H17" s="35" t="s">
        <v>136</v>
      </c>
      <c r="I17" s="35" t="s">
        <v>137</v>
      </c>
    </row>
    <row r="18" s="8" customFormat="1" ht="20.25" customHeight="1" spans="1:9">
      <c r="A18" s="26"/>
      <c r="B18" s="36">
        <v>1</v>
      </c>
      <c r="C18" s="36" t="s">
        <v>143</v>
      </c>
      <c r="D18" s="37" t="s">
        <v>144</v>
      </c>
      <c r="E18" s="38">
        <v>0</v>
      </c>
      <c r="F18" s="38"/>
      <c r="G18" s="38"/>
      <c r="H18" s="38"/>
      <c r="I18" s="38">
        <f>SUM(E18:H18)</f>
        <v>0</v>
      </c>
    </row>
    <row r="19" s="8" customFormat="1" ht="20.25" customHeight="1" spans="1:9">
      <c r="A19" s="26"/>
      <c r="B19" s="36">
        <f>B18+1</f>
        <v>2</v>
      </c>
      <c r="C19" s="36" t="s">
        <v>145</v>
      </c>
      <c r="D19" s="37" t="s">
        <v>146</v>
      </c>
      <c r="E19" s="38">
        <v>0</v>
      </c>
      <c r="F19" s="38"/>
      <c r="G19" s="38"/>
      <c r="H19" s="38"/>
      <c r="I19" s="38">
        <f t="shared" ref="I19:I21" si="0">SUM(E19:H19)</f>
        <v>0</v>
      </c>
    </row>
    <row r="20" s="8" customFormat="1" ht="20.25" customHeight="1" spans="1:9">
      <c r="A20" s="26"/>
      <c r="B20" s="36">
        <f t="shared" ref="B20:B21" si="1">B19+1</f>
        <v>3</v>
      </c>
      <c r="C20" s="36" t="s">
        <v>147</v>
      </c>
      <c r="D20" s="37" t="s">
        <v>148</v>
      </c>
      <c r="E20" s="38">
        <v>0</v>
      </c>
      <c r="F20" s="38">
        <v>0</v>
      </c>
      <c r="G20" s="38"/>
      <c r="H20" s="38"/>
      <c r="I20" s="38">
        <f t="shared" si="0"/>
        <v>0</v>
      </c>
    </row>
    <row r="21" s="8" customFormat="1" ht="20.25" customHeight="1" spans="1:9">
      <c r="A21" s="26"/>
      <c r="B21" s="36">
        <f t="shared" si="1"/>
        <v>4</v>
      </c>
      <c r="C21" s="36" t="s">
        <v>149</v>
      </c>
      <c r="D21" s="37" t="s">
        <v>150</v>
      </c>
      <c r="E21" s="38">
        <v>0</v>
      </c>
      <c r="F21" s="38">
        <v>0</v>
      </c>
      <c r="G21" s="38">
        <v>0</v>
      </c>
      <c r="H21" s="38"/>
      <c r="I21" s="38">
        <f t="shared" si="0"/>
        <v>0</v>
      </c>
    </row>
    <row r="22" s="9" customFormat="1" customHeight="1" spans="1:9">
      <c r="A22" s="39"/>
      <c r="B22" s="40"/>
      <c r="C22" s="40"/>
      <c r="D22" s="41" t="s">
        <v>138</v>
      </c>
      <c r="E22" s="42">
        <f>SUM(E18:E21)</f>
        <v>0</v>
      </c>
      <c r="F22" s="42">
        <f>SUM(F18:F21)</f>
        <v>0</v>
      </c>
      <c r="G22" s="42">
        <f>SUM(G18:G21)</f>
        <v>0</v>
      </c>
      <c r="H22" s="42">
        <f>SUM(H18:H21)</f>
        <v>0</v>
      </c>
      <c r="I22" s="42">
        <f>SUM(I18:I21)</f>
        <v>0</v>
      </c>
    </row>
    <row r="23" s="10" customFormat="1" ht="81" spans="1:9">
      <c r="A23" s="43">
        <f>ИД!$G$25%</f>
        <v>0.0192</v>
      </c>
      <c r="B23" s="44">
        <f>B21+1</f>
        <v>5</v>
      </c>
      <c r="C23" s="45" t="str">
        <f>ИД!$A$25</f>
        <v>Методика утв. Приказом Минстрой РФ от 19.06.20г. №332/пр, Приложение 1, п.53</v>
      </c>
      <c r="D23" s="46" t="str">
        <f>CONCATENATE(ИД!$B$25," - ",ИД!$D$25,ИД!$E$25,"х",ИД!$F$25,"=",ИД!$G$25,ИД!$E$25)</f>
        <v>Временные здания и сооружения (Объекты непроизводственного значения:Сети газо-,тепло-, водоснабжения и водоотведения(очистные сооружения,насосные станции и т.п.) в черте города) - 2,4%х0,8=1,92%</v>
      </c>
      <c r="E23" s="47">
        <f>E22*$A$23</f>
        <v>0</v>
      </c>
      <c r="F23" s="47">
        <f>F22*A23</f>
        <v>0</v>
      </c>
      <c r="G23" s="47"/>
      <c r="H23" s="48"/>
      <c r="I23" s="47">
        <f>SUM(E23:H23)</f>
        <v>0</v>
      </c>
    </row>
    <row r="24" s="10" customFormat="1" ht="18" customHeight="1" spans="1:9">
      <c r="A24" s="11"/>
      <c r="B24" s="49"/>
      <c r="C24" s="49"/>
      <c r="D24" s="50" t="s">
        <v>138</v>
      </c>
      <c r="E24" s="48">
        <f>SUM(E22:E23)</f>
        <v>0</v>
      </c>
      <c r="F24" s="48">
        <f t="shared" ref="F24:I24" si="2">SUM(F22:F23)</f>
        <v>0</v>
      </c>
      <c r="G24" s="48">
        <f t="shared" si="2"/>
        <v>0</v>
      </c>
      <c r="H24" s="48">
        <f t="shared" si="2"/>
        <v>0</v>
      </c>
      <c r="I24" s="48">
        <f t="shared" si="2"/>
        <v>0</v>
      </c>
    </row>
    <row r="25" s="10" customFormat="1" ht="13.5" spans="1:9">
      <c r="A25" s="51">
        <v>0.1125</v>
      </c>
      <c r="B25" s="44">
        <f>B23+1</f>
        <v>6</v>
      </c>
      <c r="C25" s="52" t="e">
        <f>ИД!#REF!</f>
        <v>#REF!</v>
      </c>
      <c r="D25" s="53" t="e">
        <f>CONCATENATE(ИД!#REF!," - ",ИД!#REF!,ИД!#REF!,"*",0.9,"=",11.25,"%")</f>
        <v>#REF!</v>
      </c>
      <c r="E25" s="47">
        <f>E24*A25</f>
        <v>0</v>
      </c>
      <c r="F25" s="54">
        <f>F24*A25</f>
        <v>0</v>
      </c>
      <c r="G25" s="49"/>
      <c r="H25" s="49"/>
      <c r="I25" s="47">
        <f>SUM(E25:H25)</f>
        <v>0</v>
      </c>
    </row>
    <row r="26" s="10" customFormat="1" ht="18" customHeight="1" spans="1:9">
      <c r="A26" s="55"/>
      <c r="B26" s="44"/>
      <c r="C26" s="56"/>
      <c r="D26" s="50" t="s">
        <v>138</v>
      </c>
      <c r="E26" s="48">
        <f>SUM(E24:E25)</f>
        <v>0</v>
      </c>
      <c r="F26" s="48">
        <f>SUM(F24:F25)</f>
        <v>0</v>
      </c>
      <c r="G26" s="48">
        <f>SUM(G24:G25)</f>
        <v>0</v>
      </c>
      <c r="H26" s="48">
        <f>SUM(H24:H25)</f>
        <v>0</v>
      </c>
      <c r="I26" s="48">
        <f>SUM(I24:I25)</f>
        <v>0</v>
      </c>
    </row>
    <row r="27" s="10" customFormat="1" ht="60" spans="1:9">
      <c r="A27" s="43">
        <f>ИД!$E$37</f>
        <v>0.03</v>
      </c>
      <c r="B27" s="44">
        <f>B25+1</f>
        <v>7</v>
      </c>
      <c r="C27" s="45" t="str">
        <f>ИД!$A$37</f>
        <v>Методика утв. Приказом Минстрой РФ от 04.08.2020г. №421/пр п.179</v>
      </c>
      <c r="D27" s="46" t="str">
        <f>CONCATENATE(ИД!$B$37," - ","1,5%",)</f>
        <v>Непредвиденные работы и затраты - 1,5%</v>
      </c>
      <c r="E27" s="47">
        <f>E26*$A$27</f>
        <v>0</v>
      </c>
      <c r="F27" s="47">
        <f t="shared" ref="F27:H27" si="3">F26*$A$27</f>
        <v>0</v>
      </c>
      <c r="G27" s="47">
        <f>G26*$A$27</f>
        <v>0</v>
      </c>
      <c r="H27" s="47">
        <f t="shared" si="3"/>
        <v>0</v>
      </c>
      <c r="I27" s="47">
        <f>SUM(E27:H27)</f>
        <v>0</v>
      </c>
    </row>
    <row r="28" s="10" customFormat="1" ht="20.1" customHeight="1" spans="1:9">
      <c r="A28" s="11"/>
      <c r="B28" s="57"/>
      <c r="C28" s="57"/>
      <c r="D28" s="57" t="s">
        <v>139</v>
      </c>
      <c r="E28" s="58">
        <f>SUM(E26:E27)</f>
        <v>0</v>
      </c>
      <c r="F28" s="58">
        <f t="shared" ref="F28:I28" si="4">SUM(F26:F27)</f>
        <v>0</v>
      </c>
      <c r="G28" s="58">
        <f t="shared" si="4"/>
        <v>0</v>
      </c>
      <c r="H28" s="58">
        <f t="shared" si="4"/>
        <v>0</v>
      </c>
      <c r="I28" s="58">
        <f t="shared" si="4"/>
        <v>0</v>
      </c>
    </row>
    <row r="29" s="11" customFormat="1" ht="12.75"/>
    <row r="31" s="12" customFormat="1" spans="1:7">
      <c r="A31" s="26"/>
      <c r="D31" s="59" t="s">
        <v>10</v>
      </c>
      <c r="G31" s="12" t="str">
        <f>ИД!$B$7</f>
        <v>Н.В.Петров</v>
      </c>
    </row>
    <row r="32" s="12" customFormat="1" spans="1:4">
      <c r="A32" s="26"/>
      <c r="D32" s="60"/>
    </row>
    <row r="33" s="12" customFormat="1" spans="1:7">
      <c r="A33" s="26"/>
      <c r="D33" s="12" t="e">
        <f>ИД!#REF!</f>
        <v>#REF!</v>
      </c>
      <c r="G33" s="12" t="e">
        <f>ИД!#REF!</f>
        <v>#REF!</v>
      </c>
    </row>
    <row r="34" s="12" customFormat="1" spans="1:4">
      <c r="A34" s="26"/>
      <c r="D34" s="61"/>
    </row>
    <row r="35" s="12" customFormat="1" spans="1:7">
      <c r="A35" s="26"/>
      <c r="D35" s="61" t="str">
        <f>ИД!$A$8</f>
        <v>Составил</v>
      </c>
      <c r="G35" s="12" t="str">
        <f>ИД!$B$8</f>
        <v>А.В.Исаев</v>
      </c>
    </row>
    <row r="36" s="12" customFormat="1" spans="1:4">
      <c r="A36" s="26"/>
      <c r="D36" s="61"/>
    </row>
    <row r="37" s="12" customFormat="1" spans="1:7">
      <c r="A37" s="26"/>
      <c r="D37" s="61" t="str">
        <f>ИД!$A$9</f>
        <v>Проверил</v>
      </c>
      <c r="E37" s="62"/>
      <c r="G37" s="12" t="str">
        <f>ИД!$B$9</f>
        <v>Н.В.Петров</v>
      </c>
    </row>
    <row r="38" s="12" customFormat="1" spans="1:4">
      <c r="A38" s="26"/>
      <c r="D38" s="63"/>
    </row>
  </sheetData>
  <mergeCells count="12">
    <mergeCell ref="B1:I1"/>
    <mergeCell ref="B2:I2"/>
    <mergeCell ref="B4:I4"/>
    <mergeCell ref="B5:I5"/>
    <mergeCell ref="D7:H7"/>
    <mergeCell ref="D9:G9"/>
    <mergeCell ref="D10:G10"/>
    <mergeCell ref="D11:G11"/>
    <mergeCell ref="E15:I15"/>
    <mergeCell ref="B15:B16"/>
    <mergeCell ref="C15:C16"/>
    <mergeCell ref="D15:D16"/>
  </mergeCells>
  <printOptions horizontalCentered="1"/>
  <pageMargins left="0.511811023622047" right="0.196850393700787" top="0.393700787401575" bottom="0.196850393700787" header="0.31496062992126" footer="0.31496062992126"/>
  <pageSetup paperSize="9" scale="74" orientation="portrait"/>
  <headerFooter/>
  <drawing r:id="rId1"/>
  <legacyDrawing r:id="rId2"/>
  <oleObjects>
    <mc:AlternateContent xmlns:mc="http://schemas.openxmlformats.org/markup-compatibility/2006">
      <mc:Choice Requires="x14">
        <oleObject shapeId="8193" progId="Visio.Drawing.11" r:id="rId3">
          <objectPr defaultSize="0" r:id="rId4">
            <anchor moveWithCells="1" sizeWithCells="1">
              <from>
                <xdr:col>4</xdr:col>
                <xdr:colOff>361950</xdr:colOff>
                <xdr:row>33</xdr:row>
                <xdr:rowOff>104775</xdr:rowOff>
              </from>
              <to>
                <xdr:col>4</xdr:col>
                <xdr:colOff>904875</xdr:colOff>
                <xdr:row>35</xdr:row>
                <xdr:rowOff>95250</xdr:rowOff>
              </to>
            </anchor>
          </objectPr>
        </oleObject>
      </mc:Choice>
      <mc:Fallback>
        <oleObject shapeId="8193" progId="Visio.Drawing.11" r:id="rId3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view="pageBreakPreview" zoomScaleNormal="100" workbookViewId="0">
      <selection activeCell="J17" sqref="J17"/>
    </sheetView>
  </sheetViews>
  <sheetFormatPr defaultColWidth="9" defaultRowHeight="14.25" outlineLevelCol="2"/>
  <cols>
    <col min="1" max="1" width="58.5714285714286" style="1" customWidth="1"/>
    <col min="2" max="2" width="16.8571428571429" style="1" customWidth="1"/>
    <col min="3" max="3" width="11" style="1" customWidth="1"/>
    <col min="4" max="16384" width="9.14285714285714" style="1"/>
  </cols>
  <sheetData>
    <row r="1" spans="1:3">
      <c r="A1" s="2"/>
      <c r="B1" s="3"/>
      <c r="C1" s="4"/>
    </row>
    <row r="2" ht="28.5" spans="1:3">
      <c r="A2" s="2" t="s">
        <v>168</v>
      </c>
      <c r="B2" s="3">
        <f>ССРтек!I58</f>
        <v>138.38</v>
      </c>
      <c r="C2" s="4" t="s">
        <v>169</v>
      </c>
    </row>
    <row r="3" spans="1:3">
      <c r="A3" s="2"/>
      <c r="B3" s="3"/>
      <c r="C3" s="4"/>
    </row>
    <row r="4" ht="28.5" spans="1:3">
      <c r="A4" s="2" t="str">
        <f>CONCATENATE("Сметная стоимость на ",ИД!B11," определилась в размере ")</f>
        <v>Сметная стоимость на 1 квартал 2023 г. определилась в размере </v>
      </c>
      <c r="B4" s="3">
        <f>ССРтек!I54</f>
        <v>51099.92</v>
      </c>
      <c r="C4" s="4" t="s">
        <v>170</v>
      </c>
    </row>
    <row r="5" ht="18" customHeight="1" spans="1:3">
      <c r="A5" s="4" t="s">
        <v>171</v>
      </c>
      <c r="B5" s="3">
        <f>ССРтек!E54+ССРтек!F54</f>
        <v>40502.9</v>
      </c>
      <c r="C5" s="4" t="s">
        <v>170</v>
      </c>
    </row>
    <row r="6" spans="1:3">
      <c r="A6" s="4"/>
      <c r="B6" s="3"/>
      <c r="C6" s="4"/>
    </row>
    <row r="7" ht="28.5" spans="1:3">
      <c r="A7" s="2" t="str">
        <f>CONCATENATE("С учетом НДС сметная стоимость на ",ИД!B11," определилась в размере ")</f>
        <v>С учетом НДС сметная стоимость на 1 квартал 2023 г. определилась в размере </v>
      </c>
      <c r="B7" s="3">
        <f>ССРтек!I57</f>
        <v>61319.9</v>
      </c>
      <c r="C7" s="4" t="s">
        <v>170</v>
      </c>
    </row>
    <row r="8" ht="18" customHeight="1" spans="1:3">
      <c r="A8" s="4" t="s">
        <v>172</v>
      </c>
      <c r="B8" s="3">
        <f>ССРтек!E57+ССРтек!F57</f>
        <v>48603.48</v>
      </c>
      <c r="C8" s="4" t="s">
        <v>170</v>
      </c>
    </row>
    <row r="9" spans="1:3">
      <c r="A9" s="4"/>
      <c r="B9" s="3"/>
      <c r="C9" s="4"/>
    </row>
    <row r="10" ht="18" hidden="1" customHeight="1" spans="1:3">
      <c r="A10" s="5" t="s">
        <v>173</v>
      </c>
      <c r="B10" s="6">
        <f>B7/ИД!F23</f>
        <v>130190.87</v>
      </c>
      <c r="C10" s="4" t="s">
        <v>170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ИД</vt:lpstr>
      <vt:lpstr>ССРтек</vt:lpstr>
      <vt:lpstr>ОС-01-01тек</vt:lpstr>
      <vt:lpstr>ОС-06-01тек</vt:lpstr>
      <vt:lpstr>ССРбаз</vt:lpstr>
      <vt:lpstr>ОС-01-01</vt:lpstr>
      <vt:lpstr>ОС-06-01</vt:lpstr>
      <vt:lpstr>в ПЗ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o.gardash</cp:lastModifiedBy>
  <dcterms:created xsi:type="dcterms:W3CDTF">2015-06-05T18:19:00Z</dcterms:created>
  <dcterms:modified xsi:type="dcterms:W3CDTF">2023-05-24T00:40:52Z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009D89355F774E93B40EE83718CE6669</vt:lpwstr>
  </property>
  <property fmtid="{D5CDD505-2E9C-101B-9397-08002B2CF9AE}" pid="3" name="KSOProductBuildVer">
    <vt:lpwstr>1049-11.2.0.11537</vt:lpwstr>
  </property>
</Properties>
</file>